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<sst xmlns="http://schemas.openxmlformats.org/spreadsheetml/2006/main" count="116" uniqueCount="102">
  <si>
    <t>Insurance Australia Group Limited (IAG.AX)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</si>
  <si>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</si>
  <si>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</si>
  <si>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</si>
  <si>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</si>
  <si>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</si>
  <si>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</si>
  <si>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</si>
  <si>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</si>
  <si>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</si>
  <si>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</si>
  <si>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</si>
  <si>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</si>
  <si>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</si>
  <si>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</si>
  <si>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</si>
  <si>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</si>
  <si>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</si>
  <si>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</si>
  <si>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</si>
  <si>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</si>
  <si>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</si>
  <si>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</si>
  <si>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</si>
  <si>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</si>
  <si>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</si>
  <si>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</si>
  <si>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</si>
  <si>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</si>
  <si>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</si>
  <si>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</si>
  <si>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</si>
  <si>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</si>
  <si>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</si>
  <si>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</si>
  <si>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</si>
  <si>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</si>
  <si>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</si>
  <si>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</si>
  <si>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</si>
  <si>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</si>
  <si>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</si>
  <si>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</si>
  <si>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</si>
  <si>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</si>
  <si>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</si>
  <si>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</si>
  <si>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</si>
  <si>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</si>
  <si>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</si>
  <si>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</si>
  <si>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</si>
  <si>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</si>
  <si>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</si>
  <si>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</si>
  <si>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</si>
  <si>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</si>
  <si>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</si>
  <si>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</si>
  <si>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</si>
  <si>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</si>
  <si>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</si>
  <si>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</si>
  <si>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</si>
  <si>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</si>
  <si>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</si>
  <si>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</si>
  <si>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</si>
  <si>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</si>
  <si>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</si>
  <si>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</si>
  <si>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</si>
  <si>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</si>
  <si>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</si>
  <si>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</si>
  <si>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</si>
  <si>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</si>
  <si>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</si>
  <si>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</si>
  <si>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</si>
  <si>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</si>
  <si>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</si>
  <si>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</si>
  <si>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</si>
  <si>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</si>
  <si>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</si>
  <si>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</si>
  <si>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</si>
  <si>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</si>
  <si>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</si>
  <si>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</si>
  <si>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</si>
  <si>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</si>
  <si>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</si>
  <si>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</si>
  <si>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</si>
  <si>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</si>
  <si>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</si>
  <si>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Some line items were not reported and have been derived. Each one is labelled in the workings below.</t>
  </si>
  <si>
    <t>Adjusted: Reported capital expenditure averages just 0.00% of revenue, which is too low to be the company's real investment - property trusts and similar structures invest through lines that are not reported as capex. Capex has been set to 1029.02%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</si>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</sst>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0.1642328108477107</v>
      </c>
    </row>
    <row r="7" spans="1:2" x14ac:dyDescent="0.25">
      <c r="A7" t="s">
        <v>5</v>
      </c>
      <c r="B7" s="6">
        <v>0.24016218750292753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10.290191043889935</v>
      </c>
    </row>
    <row r="10" spans="1:2" x14ac:dyDescent="0.25">
      <c r="A10" t="s">
        <v>8</v>
      </c>
      <c r="B10" s="6">
        <v>10.290191043889935</v>
      </c>
    </row>
    <row r="11" spans="1:2" x14ac:dyDescent="0.25">
      <c r="A11" t="s">
        <v>9</v>
      </c>
      <c r="B11" s="6">
        <v>-0.056953568634549395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0.11089641650371632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0.31392</v>
      </c>
      <c r="C19" s="8" t="s">
        <v>19</v>
      </c>
    </row>
    <row r="20" spans="1:2" x14ac:dyDescent="0.25">
      <c r="A20" t="s">
        <v>20</v>
      </c>
      <c r="B20" s="10">
        <f>B17+B19*B18</f>
        <v>0.0723152</v>
      </c>
    </row>
    <row r="21" spans="1:3" x14ac:dyDescent="0.25">
      <c r="A21" t="s">
        <v>21</v>
      </c>
      <c r="B21" s="6">
        <v>0.11708450944209539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3243000000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0.08195915660946677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16115000000</v>
      </c>
      <c r="C29" s="8" t="s">
        <v>30</v>
      </c>
    </row>
    <row r="30" spans="1:2" x14ac:dyDescent="0.25">
      <c r="A30" t="s">
        <v>31</v>
      </c>
      <c r="B30" s="11">
        <v>2620000000</v>
      </c>
    </row>
    <row r="31" spans="1:2" x14ac:dyDescent="0.25">
      <c r="A31" t="s">
        <v>32</v>
      </c>
      <c r="B31" s="13">
        <v>2387292689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0.1642328108477107</v>
      </c>
      <c r="C5" s="10">
        <f>Assumptions!B6</f>
        <v>0.1642328108477107</v>
      </c>
      <c r="D5" s="10">
        <f>Assumptions!B6</f>
        <v>0.1642328108477107</v>
      </c>
      <c r="E5" s="10">
        <f>Assumptions!B6</f>
        <v>0.1642328108477107</v>
      </c>
      <c r="F5" s="10">
        <f>Assumptions!B6</f>
        <v>0.1642328108477107</v>
      </c>
    </row>
    <row r="6" spans="1:6" x14ac:dyDescent="0.25">
      <c r="A6" t="s">
        <v>43</v>
      </c>
      <c r="B6" s="18">
        <f>Assumptions!B29*(1+B5)</f>
        <v>18761611746.810856</v>
      </c>
      <c r="C6" s="18">
        <f>B6*(1+C5)</f>
        <v>21842883980.02303</v>
      </c>
      <c r="D6" s="18">
        <f>C6*(1+D5)</f>
        <v>25430202213.08264</v>
      </c>
      <c r="E6" s="18">
        <f>D6*(1+E5)</f>
        <v>29606675802.962875</v>
      </c>
      <c r="F6" s="18">
        <f>E6*(1+F5)</f>
        <v>34469063389.94037</v>
      </c>
    </row>
    <row r="7" spans="1:6" x14ac:dyDescent="0.25">
      <c r="A7" t="s">
        <v>5</v>
      </c>
      <c r="B7" s="10">
        <f>Assumptions!B7</f>
        <v>0.24016218750292753</v>
      </c>
      <c r="C7" s="10">
        <f>Assumptions!B7</f>
        <v>0.24016218750292753</v>
      </c>
      <c r="D7" s="10">
        <f>Assumptions!B7</f>
        <v>0.24016218750292753</v>
      </c>
      <c r="E7" s="10">
        <f>Assumptions!B7</f>
        <v>0.24016218750292753</v>
      </c>
      <c r="F7" s="10">
        <f>Assumptions!B7</f>
        <v>0.24016218750292753</v>
      </c>
    </row>
    <row r="8" spans="1:6" x14ac:dyDescent="0.25">
      <c r="A8" t="s">
        <v>44</v>
      </c>
      <c r="B8" s="18">
        <f>B6*B7</f>
        <v>4505829718.194716</v>
      </c>
      <c r="C8" s="18">
        <f>C6*C7</f>
        <v>5245834798.014983</v>
      </c>
      <c r="D8" s="18">
        <f>D6*D7</f>
        <v>6107372992.135716</v>
      </c>
      <c r="E8" s="18">
        <f>E6*E7</f>
        <v>7110404025.529557</v>
      </c>
      <c r="F8" s="18">
        <f>F6*F7</f>
        <v>8278165664.905153</v>
      </c>
    </row>
    <row r="9" spans="1:6" x14ac:dyDescent="0.25">
      <c r="A9" t="s">
        <v>45</v>
      </c>
      <c r="B9" s="18">
        <f>B8*(1-Assumptions!B8)</f>
        <v>3154080802.7363014</v>
      </c>
      <c r="C9" s="18">
        <f>C8*(1-Assumptions!B8)</f>
        <v>3672084358.610488</v>
      </c>
      <c r="D9" s="18">
        <f>D8*(1-Assumptions!B8)</f>
        <v>4275161094.4950013</v>
      </c>
      <c r="E9" s="18">
        <f>E8*(1-Assumptions!B8)</f>
        <v>4977282817.870689</v>
      </c>
      <c r="F9" s="18">
        <f>F8*(1-Assumptions!B8)</f>
        <v>5794715965.433607</v>
      </c>
    </row>
    <row r="10" spans="1:6" x14ac:dyDescent="0.25">
      <c r="A10" t="s">
        <v>46</v>
      </c>
      <c r="B10" s="18">
        <f>B6*Assumptions!B9</f>
        <v>193060569165.97327</v>
      </c>
      <c r="C10" s="18">
        <f>C6*Assumptions!B9</f>
        <v>224767449103.95993</v>
      </c>
      <c r="D10" s="18">
        <f>D6*Assumptions!B9</f>
        <v>261681639057.37302</v>
      </c>
      <c r="E10" s="18">
        <f>E6*Assumptions!B9</f>
        <v>304658350187.00146</v>
      </c>
      <c r="F10" s="18">
        <f>F6*Assumptions!B9</f>
        <v>354693247386.43884</v>
      </c>
    </row>
    <row r="11" spans="1:6" x14ac:dyDescent="0.25">
      <c r="A11" t="s">
        <v>47</v>
      </c>
      <c r="B11" s="18">
        <f>-B6*Assumptions!B10</f>
        <v>-193060569165.97327</v>
      </c>
      <c r="C11" s="18">
        <f>-C6*Assumptions!B10</f>
        <v>-224767449103.95993</v>
      </c>
      <c r="D11" s="18">
        <f>-D6*Assumptions!B10</f>
        <v>-261681639057.37302</v>
      </c>
      <c r="E11" s="18">
        <f>-E6*Assumptions!B10</f>
        <v>-304658350187.00146</v>
      </c>
      <c r="F11" s="18">
        <f>-F6*Assumptions!B10</f>
        <v>-354693247386.43884</v>
      </c>
    </row>
    <row r="12" spans="1:6" x14ac:dyDescent="0.25">
      <c r="A12" t="s">
        <v>48</v>
      </c>
      <c r="B12" s="18">
        <f>-(B6-Assumptions!B29)*Assumptions!B11</f>
        <v>150733983.77099675</v>
      </c>
      <c r="C12" s="18">
        <f>-(C6-B6)*Assumptions!B11</f>
        <v>175489449.6159808</v>
      </c>
      <c r="D12" s="18">
        <f>-(D6-C6)*Assumptions!B11</f>
        <v>204310575.2005311</v>
      </c>
      <c r="E12" s="18">
        <f>-(E6-D6)*Assumptions!B11</f>
        <v>237865075.2516268</v>
      </c>
      <c r="F12" s="18">
        <f>-(F6-E6)*Assumptions!B11</f>
        <v>276930325.1627037</v>
      </c>
    </row>
    <row r="13" spans="1:6" x14ac:dyDescent="0.25">
      <c r="A13" s="19" t="s">
        <v>49</v>
      </c>
      <c r="B13" s="20">
        <f>B9+B10+B11+B12</f>
        <v>3304814786.507294</v>
      </c>
      <c r="C13" s="20">
        <f>C9+C10+C11+C12</f>
        <v>3847573808.2264543</v>
      </c>
      <c r="D13" s="20">
        <f>D9+D10+D11+D12</f>
        <v>4479471669.695526</v>
      </c>
      <c r="E13" s="20">
        <f>E9+E10+E11+E12</f>
        <v>5215147893.122293</v>
      </c>
      <c r="F13" s="20">
        <f>F9+F10+F11+F12</f>
        <v>6071646290.596297</v>
      </c>
    </row>
    <row r="14" spans="1:6" x14ac:dyDescent="0.25">
      <c r="A14" t="s">
        <v>50</v>
      </c>
      <c r="B14" s="21">
        <f>1/(1+Assumptions!$B$26)^(1-0.5*Assumptions!$B$32)</f>
        <v>0.9613788568271696</v>
      </c>
      <c r="C14" s="21">
        <f>1/(1+Assumptions!$B$26)^(2-0.5*Assumptions!$B$32)</f>
        <v>0.8885537415662165</v>
      </c>
      <c r="D14" s="21">
        <f>1/(1+Assumptions!$B$26)^(3-0.5*Assumptions!$B$32)</f>
        <v>0.8212451793011073</v>
      </c>
      <c r="E14" s="21">
        <f>1/(1+Assumptions!$B$26)^(4-0.5*Assumptions!$B$32)</f>
        <v>0.7590352873158739</v>
      </c>
      <c r="F14" s="21">
        <f>1/(1+Assumptions!$B$26)^(5-0.5*Assumptions!$B$32)</f>
        <v>0.7015378378001451</v>
      </c>
    </row>
    <row r="15" spans="1:6" x14ac:dyDescent="0.25">
      <c r="A15" s="19" t="s">
        <v>51</v>
      </c>
      <c r="B15" s="20">
        <f>B13*B14</f>
        <v>3177179061.477909</v>
      </c>
      <c r="C15" s="20">
        <f>C13*C14</f>
        <v>3418776103.251792</v>
      </c>
      <c r="D15" s="20">
        <f>D13*D14</f>
        <v>3678744514.553333</v>
      </c>
      <c r="E15" s="20">
        <f>E13*E14</f>
        <v>3958481279.4508543</v>
      </c>
      <c r="F15" s="20">
        <f>F13*F14</f>
        <v>4259489610.592198</v>
      </c>
    </row>
    <row r="17" spans="1:2" x14ac:dyDescent="0.25">
      <c r="A17" s="22" t="s">
        <v>52</v>
      </c>
      <c r="B17" s="23">
        <f>SUM(B15:F15)</f>
        <v>18492670569.326084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6071646290.596297</v>
      </c>
    </row>
    <row r="5" spans="1:2" x14ac:dyDescent="0.25">
      <c r="A5" t="s">
        <v>56</v>
      </c>
      <c r="B5" s="18">
        <f>IF(Assumptions!$B$33=0,B4,B4-Forecast!F11-Forecast!F10-Forecast!F12)</f>
        <v>5794715965.433607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0.22543559826536155</v>
      </c>
    </row>
    <row r="7" spans="1:2" x14ac:dyDescent="0.25">
      <c r="A7" t="s">
        <v>58</v>
      </c>
      <c r="B7" s="18">
        <f>-MAX(Forecast!F9,0)*B6</f>
        <v>-1306335260.4453673</v>
      </c>
    </row>
    <row r="8" spans="1:2" x14ac:dyDescent="0.25">
      <c r="A8" t="s">
        <v>59</v>
      </c>
      <c r="B8" s="18">
        <f>IF(OR(Assumptions!$B$33=0,Assumptions!B12&lt;=0),B5,MAX(B5+B7,0))</f>
        <v>4488380704.988239</v>
      </c>
    </row>
    <row r="9" spans="1:2" x14ac:dyDescent="0.25">
      <c r="A9" t="s">
        <v>60</v>
      </c>
      <c r="B9" s="18">
        <f>B8*(1+Assumptions!B12)/(Assumptions!B26-Assumptions!B12)</f>
        <v>80769984958.80667</v>
      </c>
    </row>
    <row r="10" spans="1:2" x14ac:dyDescent="0.25">
      <c r="A10" t="s">
        <v>61</v>
      </c>
      <c r="B10" s="18">
        <f>B9/(1+Assumptions!B26)^(5-0.5*Assumptions!B32)</f>
        <v>56663200607.151474</v>
      </c>
    </row>
    <row r="11" spans="1:2" x14ac:dyDescent="0.25">
      <c r="A11" t="s">
        <v>62</v>
      </c>
      <c r="B11" s="18">
        <f>Forecast!B17+B10</f>
        <v>75155871176.47755</v>
      </c>
    </row>
    <row r="12" spans="1:2" x14ac:dyDescent="0.25">
      <c r="A12" t="s">
        <v>63</v>
      </c>
      <c r="B12" s="18">
        <f>-Assumptions!B30</f>
        <v>-2620000000</v>
      </c>
    </row>
    <row r="13" spans="1:2" x14ac:dyDescent="0.25">
      <c r="A13" t="s">
        <v>64</v>
      </c>
      <c r="B13" s="18">
        <f>B11+B12</f>
        <v>72535871176.47755</v>
      </c>
    </row>
    <row r="14" spans="1:2" x14ac:dyDescent="0.25">
      <c r="A14" s="19" t="s">
        <v>65</v>
      </c>
      <c r="B14" s="24">
        <f>B13/Assumptions!B31</f>
        <v>30.38415503499142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362971413051.344</v>
      </c>
    </row>
    <row r="18" spans="1:2" x14ac:dyDescent="0.25">
      <c r="A18" t="s">
        <v>60</v>
      </c>
      <c r="B18" s="18">
        <f>B17*Assumptions!B13</f>
        <v>2903771304410.752</v>
      </c>
    </row>
    <row r="19" spans="1:2" x14ac:dyDescent="0.25">
      <c r="A19" t="s">
        <v>61</v>
      </c>
      <c r="B19" s="18">
        <f>B18/(1+Assumptions!B26)^(5-0.5*Assumptions!B32)</f>
        <v>2037105442362.426</v>
      </c>
    </row>
    <row r="20" spans="1:2" x14ac:dyDescent="0.25">
      <c r="A20" t="s">
        <v>62</v>
      </c>
      <c r="B20" s="18">
        <f>Forecast!B17+B19</f>
        <v>2055598112931.7522</v>
      </c>
    </row>
    <row r="21" spans="1:2" x14ac:dyDescent="0.25">
      <c r="A21" t="s">
        <v>63</v>
      </c>
      <c r="B21" s="18">
        <f>-Assumptions!B30</f>
        <v>-2620000000</v>
      </c>
    </row>
    <row r="22" spans="1:2" x14ac:dyDescent="0.25">
      <c r="A22" t="s">
        <v>64</v>
      </c>
      <c r="B22" s="18">
        <f>B20+B21</f>
        <v>2052978112931.7522</v>
      </c>
    </row>
    <row r="23" spans="1:2" x14ac:dyDescent="0.25">
      <c r="A23" s="19" t="s">
        <v>65</v>
      </c>
      <c r="B23" s="25">
        <f>B22/Assumptions!B31</f>
        <v>859.9607925711501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8.01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30.38415503499142</v>
      </c>
    </row>
    <row r="29" spans="1:2" x14ac:dyDescent="0.25">
      <c r="A29" s="19" t="s">
        <v>73</v>
      </c>
      <c r="B29" s="12">
        <f>B28/B26-1</f>
        <v>2.793277782146245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0.061959</v>
      </c>
      <c r="B5" s="31">
        <v>41.659434684761266</v>
      </c>
      <c r="C5" s="31">
        <v>43.94534996208278</v>
      </c>
      <c r="D5" s="31">
        <v>46.82717254503177</v>
      </c>
      <c r="E5" s="31">
        <v>50.58459233580839</v>
      </c>
      <c r="F5" s="31">
        <v>55.704792023585576</v>
      </c>
    </row>
    <row r="6" spans="1:6" x14ac:dyDescent="0.25">
      <c r="A6" s="30">
        <v>0.071959</v>
      </c>
      <c r="B6" s="31">
        <v>34.20201594758338</v>
      </c>
      <c r="C6" s="31">
        <v>35.41108294850912</v>
      </c>
      <c r="D6" s="31">
        <v>36.86057544373273</v>
      </c>
      <c r="E6" s="31">
        <v>38.63644358493724</v>
      </c>
      <c r="F6" s="31">
        <v>40.8711486045617</v>
      </c>
    </row>
    <row r="7" spans="1:6" x14ac:dyDescent="0.25">
      <c r="A7" s="30">
        <v>0.081959</v>
      </c>
      <c r="B7" s="31">
        <v>28.970136383397</v>
      </c>
      <c r="C7" s="31">
        <v>29.62632534529944</v>
      </c>
      <c r="D7" s="32">
        <v>30.384238722929297</v>
      </c>
      <c r="E7" s="31">
        <v>31.273243252288292</v>
      </c>
      <c r="F7" s="31">
        <v>32.335213063488574</v>
      </c>
    </row>
    <row r="8" spans="1:6" x14ac:dyDescent="0.25">
      <c r="A8" s="30">
        <v>0.091959</v>
      </c>
      <c r="B8" s="31">
        <v>25.09643212161547</v>
      </c>
      <c r="C8" s="31">
        <v>25.44515883372142</v>
      </c>
      <c r="D8" s="31">
        <v>25.834964942000603</v>
      </c>
      <c r="E8" s="31">
        <v>26.27579558666833</v>
      </c>
      <c r="F8" s="31">
        <v>26.781087942636862</v>
      </c>
    </row>
    <row r="9" spans="1:6" x14ac:dyDescent="0.25">
      <c r="A9" s="30">
        <v>0.101959</v>
      </c>
      <c r="B9" s="31">
        <v>22.112500171010808</v>
      </c>
      <c r="C9" s="31">
        <v>22.280904023181943</v>
      </c>
      <c r="D9" s="31">
        <v>22.46200312788196</v>
      </c>
      <c r="E9" s="31">
        <v>22.658443836337746</v>
      </c>
      <c r="F9" s="31">
        <v>22.87366293906791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16115000000</v>
      </c>
      <c r="C5" s="18">
        <v>5351000</v>
      </c>
      <c r="D5" s="18">
        <v>13673000000</v>
      </c>
      <c r="E5" s="18">
        <v>10212000000</v>
      </c>
      <c r="F5" s="8" t="s">
        <v>84</v>
      </c>
    </row>
    <row r="6" spans="1:6" x14ac:dyDescent="0.25">
      <c r="A6" t="s">
        <v>44</v>
      </c>
      <c r="B6" s="18">
        <v>1739000000</v>
      </c>
      <c r="C6" s="18">
        <v>3270000</v>
      </c>
      <c r="D6" s="18">
        <v>1491000000</v>
      </c>
      <c r="E6" s="18">
        <v>1354000000</v>
      </c>
      <c r="F6" s="8" t="s">
        <v>85</v>
      </c>
    </row>
    <row r="7" spans="1:6" x14ac:dyDescent="0.25">
      <c r="A7" t="s">
        <v>86</v>
      </c>
      <c r="B7" s="18">
        <v>229000000</v>
      </c>
      <c r="C7" s="18">
        <v>220000000</v>
      </c>
      <c r="D7" s="18">
        <v>200000000</v>
      </c>
      <c r="E7" s="18">
        <v>185000000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85</v>
      </c>
    </row>
    <row r="9" spans="1:6" x14ac:dyDescent="0.25">
      <c r="A9" t="s">
        <v>89</v>
      </c>
      <c r="B9" s="18">
        <v>-917502000</v>
      </c>
      <c r="C9" s="18">
        <v>744502000</v>
      </c>
      <c r="D9" s="18">
        <v>-2581000000</v>
      </c>
      <c r="E9" s="18">
        <v>0</v>
      </c>
      <c r="F9" s="8" t="s">
        <v>85</v>
      </c>
    </row>
    <row r="10" spans="1:6" x14ac:dyDescent="0.25">
      <c r="A10" t="s">
        <v>90</v>
      </c>
      <c r="B10" s="18">
        <v>3243000000</v>
      </c>
      <c r="C10" s="18">
        <v>2519000</v>
      </c>
      <c r="D10" s="18">
        <v>2937000000</v>
      </c>
      <c r="E10" s="18">
        <v>2636000000</v>
      </c>
      <c r="F10" s="8" t="s">
        <v>91</v>
      </c>
    </row>
    <row r="11" spans="1:6" x14ac:dyDescent="0.25">
      <c r="A11" t="s">
        <v>92</v>
      </c>
      <c r="B11" s="18">
        <v>623000000</v>
      </c>
      <c r="C11" s="18">
        <v>1506000</v>
      </c>
      <c r="D11" s="18">
        <v>631000000</v>
      </c>
      <c r="E11" s="18">
        <v>474000000</v>
      </c>
      <c r="F11" s="8" t="s">
        <v>93</v>
      </c>
    </row>
    <row r="12" spans="1:6" x14ac:dyDescent="0.25">
      <c r="A12" t="s">
        <v>32</v>
      </c>
      <c r="B12" s="34">
        <v>2387292689</v>
      </c>
      <c r="C12" s="34">
        <v>8280000</v>
      </c>
      <c r="D12" s="34">
        <v>2477924945</v>
      </c>
      <c r="E12" s="34">
        <v>2583850932</v>
      </c>
      <c r="F12" s="8" t="s">
        <v>94</v>
      </c>
    </row>
    <row r="15" spans="1:1" x14ac:dyDescent="0.25">
      <c r="A15" s="19" t="s">
        <v>95</v>
      </c>
    </row>
    <row r="16" ht="54" customHeight="1" spans="1:6" x14ac:dyDescent="0.25">
      <c r="A16" s="35" t="s">
        <v>96</v>
      </c>
      <c r="B16" s="35"/>
      <c r="C16" s="35"/>
      <c r="D16" s="35"/>
      <c r="E16" s="35"/>
      <c r="F16" s="35"/>
    </row>
    <row r="17" ht="54" customHeight="1" spans="1:6" x14ac:dyDescent="0.25">
      <c r="A17" s="35" t="s">
        <v>97</v>
      </c>
      <c r="B17" s="35"/>
      <c r="C17" s="35"/>
      <c r="D17" s="35"/>
      <c r="E17" s="35"/>
      <c r="F17" s="35"/>
    </row>
    <row r="18" ht="22" customHeight="1" spans="1:6" x14ac:dyDescent="0.25">
      <c r="A18" s="35" t="s">
        <v>98</v>
      </c>
      <c r="B18" s="35"/>
      <c r="C18" s="35"/>
      <c r="D18" s="35"/>
      <c r="E18" s="35"/>
      <c r="F18" s="35"/>
    </row>
    <row r="19" ht="86" customHeight="1" spans="1:6" x14ac:dyDescent="0.25">
      <c r="A19" s="35" t="s">
        <v>99</v>
      </c>
      <c r="B19" s="35"/>
      <c r="C19" s="35"/>
      <c r="D19" s="35"/>
      <c r="E19" s="35"/>
      <c r="F19" s="35"/>
    </row>
    <row r="20" ht="22" customHeight="1" spans="1:6" x14ac:dyDescent="0.25">
      <c r="A20" s="35" t="s">
        <v>100</v>
      </c>
      <c r="B20" s="35"/>
      <c r="C20" s="35"/>
      <c r="D20" s="35"/>
      <c r="E20" s="35"/>
      <c r="F20" s="35"/>
    </row>
    <row r="22" spans="1:1" x14ac:dyDescent="0.25">
      <c r="A22" s="36" t="s">
        <v>101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2026-09-19T00:06:39Z</dcterms:modified>
</cp:coreProperties>
</file>