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<sst xmlns="http://schemas.openxmlformats.org/spreadsheetml/2006/main" count="112" uniqueCount="100">
  <si>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Iberdrola, S.A. (IBE.MC)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</si>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</sst>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-0.06515503823992697</v>
      </c>
    </row>
    <row r="7" spans="1:2" x14ac:dyDescent="0.25">
      <c r="A7" t="s">
        <v>5</v>
      </c>
      <c r="B7" s="6">
        <v>0.20486311769670384</v>
      </c>
    </row>
    <row r="8" spans="1:2" x14ac:dyDescent="0.25">
      <c r="A8" t="s">
        <v>6</v>
      </c>
      <c r="B8" s="6">
        <v>0.21777711265144992</v>
      </c>
    </row>
    <row r="9" spans="1:2" x14ac:dyDescent="0.25">
      <c r="A9" t="s">
        <v>7</v>
      </c>
      <c r="B9" s="6">
        <v>0.13482038619474523</v>
      </c>
    </row>
    <row r="10" spans="1:2" x14ac:dyDescent="0.25">
      <c r="A10" t="s">
        <v>8</v>
      </c>
      <c r="B10" s="6">
        <v>0.16725220505491678</v>
      </c>
    </row>
    <row r="11" spans="1:2" x14ac:dyDescent="0.25">
      <c r="A11" t="s">
        <v>9</v>
      </c>
      <c r="B11" s="6">
        <v>-0.08040745557000434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10.907283397553874</v>
      </c>
    </row>
    <row r="14" spans="1:3" x14ac:dyDescent="0.25">
      <c r="A14" t="s">
        <v>12</v>
      </c>
      <c r="B14" s="6">
        <v>0.07418893616655728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0.7018500000000001</v>
      </c>
      <c r="C19" s="8" t="s">
        <v>19</v>
      </c>
    </row>
    <row r="20" spans="1:2" x14ac:dyDescent="0.25">
      <c r="A20" t="s">
        <v>20</v>
      </c>
      <c r="B20" s="10">
        <f>B17+B19*B18</f>
        <v>0.08762025000000001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135398055936</v>
      </c>
    </row>
    <row r="23" spans="1:2" x14ac:dyDescent="0.25">
      <c r="A23" t="s">
        <v>24</v>
      </c>
      <c r="B23" s="11">
        <v>57231000000</v>
      </c>
    </row>
    <row r="24" spans="1:2" x14ac:dyDescent="0.25">
      <c r="A24" t="s">
        <v>25</v>
      </c>
      <c r="B24" s="10">
        <f>B22/(B22+B23)</f>
        <v>0.7028952889692056</v>
      </c>
    </row>
    <row r="25" spans="1:2" x14ac:dyDescent="0.25">
      <c r="A25" t="s">
        <v>26</v>
      </c>
      <c r="B25" s="10">
        <f>1-B24</f>
        <v>0.2971047110307944</v>
      </c>
    </row>
    <row r="26" spans="1:2" x14ac:dyDescent="0.25">
      <c r="A26" t="s">
        <v>27</v>
      </c>
      <c r="B26" s="12">
        <f>B24*B20+B25*B21*(1-B8)</f>
        <v>0.07134874934941336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44076000000</v>
      </c>
      <c r="C29" s="8" t="s">
        <v>30</v>
      </c>
    </row>
    <row r="30" spans="1:2" x14ac:dyDescent="0.25">
      <c r="A30" t="s">
        <v>31</v>
      </c>
      <c r="B30" s="11">
        <v>51880000000</v>
      </c>
    </row>
    <row r="31" spans="1:2" x14ac:dyDescent="0.25">
      <c r="A31" t="s">
        <v>32</v>
      </c>
      <c r="B31" s="13">
        <v>6747391353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-0.06515503823992697</v>
      </c>
      <c r="C5" s="10">
        <f>Assumptions!B6</f>
        <v>-0.06515503823992697</v>
      </c>
      <c r="D5" s="10">
        <f>Assumptions!B6</f>
        <v>-0.06515503823992697</v>
      </c>
      <c r="E5" s="10">
        <f>Assumptions!B6</f>
        <v>-0.06515503823992697</v>
      </c>
      <c r="F5" s="10">
        <f>Assumptions!B6</f>
        <v>-0.06515503823992697</v>
      </c>
    </row>
    <row r="6" spans="1:6" x14ac:dyDescent="0.25">
      <c r="A6" t="s">
        <v>43</v>
      </c>
      <c r="B6" s="18">
        <f>Assumptions!B29*(1+B5)</f>
        <v>41204226534.53698</v>
      </c>
      <c r="C6" s="18">
        <f>B6*(1+C5)</f>
        <v>38519563579.03261</v>
      </c>
      <c r="D6" s="18">
        <f>C6*(1+D5)</f>
        <v>36009819941.05544</v>
      </c>
      <c r="E6" s="18">
        <f>D6*(1+E5)</f>
        <v>33663598745.783092</v>
      </c>
      <c r="F6" s="18">
        <f>E6*(1+F5)</f>
        <v>31470245682.20804</v>
      </c>
    </row>
    <row r="7" spans="1:6" x14ac:dyDescent="0.25">
      <c r="A7" t="s">
        <v>5</v>
      </c>
      <c r="B7" s="10">
        <f>Assumptions!B7</f>
        <v>0.20486311769670384</v>
      </c>
      <c r="C7" s="10">
        <f>Assumptions!B7</f>
        <v>0.20486311769670384</v>
      </c>
      <c r="D7" s="10">
        <f>Assumptions!B7</f>
        <v>0.20486311769670384</v>
      </c>
      <c r="E7" s="10">
        <f>Assumptions!B7</f>
        <v>0.20486311769670384</v>
      </c>
      <c r="F7" s="10">
        <f>Assumptions!B7</f>
        <v>0.20486311769670384</v>
      </c>
    </row>
    <row r="8" spans="1:6" x14ac:dyDescent="0.25">
      <c r="A8" t="s">
        <v>44</v>
      </c>
      <c r="B8" s="18">
        <f>B6*B7</f>
        <v>8441226310.146497</v>
      </c>
      <c r="C8" s="18">
        <f>C6*C7</f>
        <v>7891237887.117024</v>
      </c>
      <c r="D8" s="18">
        <f>D6*D7</f>
        <v>7377083980.821554</v>
      </c>
      <c r="E8" s="18">
        <f>E6*E7</f>
        <v>6896429791.951974</v>
      </c>
      <c r="F8" s="18">
        <f>F6*F7</f>
        <v>6447092645.138371</v>
      </c>
    </row>
    <row r="9" spans="1:6" x14ac:dyDescent="0.25">
      <c r="A9" t="s">
        <v>45</v>
      </c>
      <c r="B9" s="18">
        <f>B8*(1-Assumptions!B8)</f>
        <v>6602920417.08534</v>
      </c>
      <c r="C9" s="18">
        <f>C8*(1-Assumptions!B8)</f>
        <v>6172706884.81495</v>
      </c>
      <c r="D9" s="18">
        <f>D8*(1-Assumptions!B8)</f>
        <v>5770523931.690971</v>
      </c>
      <c r="E9" s="18">
        <f>E8*(1-Assumptions!B8)</f>
        <v>5394545224.257234</v>
      </c>
      <c r="F9" s="18">
        <f>F8*(1-Assumptions!B8)</f>
        <v>5043063423.883738</v>
      </c>
    </row>
    <row r="10" spans="1:6" x14ac:dyDescent="0.25">
      <c r="A10" t="s">
        <v>46</v>
      </c>
      <c r="B10" s="18">
        <f>B6*Assumptions!B9</f>
        <v>5555169734.242044</v>
      </c>
      <c r="C10" s="18">
        <f>C6*Assumptions!B9</f>
        <v>5193222437.778219</v>
      </c>
      <c r="D10" s="18">
        <f>D6*Assumptions!B9</f>
        <v>4854857831.256332</v>
      </c>
      <c r="E10" s="18">
        <f>E6*Assumptions!B9</f>
        <v>4538539383.611418</v>
      </c>
      <c r="F10" s="18">
        <f>F6*Assumptions!B9</f>
        <v>4242830676.518801</v>
      </c>
    </row>
    <row r="11" spans="1:6" x14ac:dyDescent="0.25">
      <c r="A11" t="s">
        <v>47</v>
      </c>
      <c r="B11" s="18">
        <f>-B6*Assumptions!B10</f>
        <v>-6891497745.483622</v>
      </c>
      <c r="C11" s="18">
        <f>-C6*Assumptions!B10</f>
        <v>-6442481946.346266</v>
      </c>
      <c r="D11" s="18">
        <f>-D6*Assumptions!B10</f>
        <v>-6022721788.772037</v>
      </c>
      <c r="E11" s="18">
        <f>-E6*Assumptions!B10</f>
        <v>-5630311120.316154</v>
      </c>
      <c r="F11" s="18">
        <f>-F6*Assumptions!B10</f>
        <v>-5263467983.969268</v>
      </c>
    </row>
    <row r="12" spans="1:6" x14ac:dyDescent="0.25">
      <c r="A12" t="s">
        <v>48</v>
      </c>
      <c r="B12" s="18">
        <f>-(B6-Assumptions!B29)*Assumptions!B11</f>
        <v>-230911997.3313352</v>
      </c>
      <c r="C12" s="18">
        <f>-(C6-B6)*Assumptions!B11</f>
        <v>-215866917.31515428</v>
      </c>
      <c r="D12" s="18">
        <f>-(D6-C6)*Assumptions!B11</f>
        <v>-201802100.06274995</v>
      </c>
      <c r="E12" s="18">
        <f>-(E6-D6)*Assumptions!B11</f>
        <v>-188653676.516264</v>
      </c>
      <c r="F12" s="18">
        <f>-(F6-E6)*Assumptions!B11</f>
        <v>-176361939.00874406</v>
      </c>
    </row>
    <row r="13" spans="1:6" x14ac:dyDescent="0.25">
      <c r="A13" s="19" t="s">
        <v>49</v>
      </c>
      <c r="B13" s="20">
        <f>B9+B10+B11+B12</f>
        <v>5035680408.512428</v>
      </c>
      <c r="C13" s="20">
        <f>C9+C10+C11+C12</f>
        <v>4707580458.93175</v>
      </c>
      <c r="D13" s="20">
        <f>D9+D10+D11+D12</f>
        <v>4400857874.112517</v>
      </c>
      <c r="E13" s="20">
        <f>E9+E10+E11+E12</f>
        <v>4114119811.036235</v>
      </c>
      <c r="F13" s="20">
        <f>F9+F10+F11+F12</f>
        <v>3846064177.424526</v>
      </c>
    </row>
    <row r="14" spans="1:6" x14ac:dyDescent="0.25">
      <c r="A14" t="s">
        <v>50</v>
      </c>
      <c r="B14" s="21">
        <f>1/(1+Assumptions!$B$26)^(1-0.5*Assumptions!$B$32)</f>
        <v>0.9661277723024547</v>
      </c>
      <c r="C14" s="21">
        <f>1/(1+Assumptions!$B$26)^(2-0.5*Assumptions!$B$32)</f>
        <v>0.9017864377861503</v>
      </c>
      <c r="D14" s="21">
        <f>1/(1+Assumptions!$B$26)^(3-0.5*Assumptions!$B$32)</f>
        <v>0.841730051333675</v>
      </c>
      <c r="E14" s="21">
        <f>1/(1+Assumptions!$B$26)^(4-0.5*Assumptions!$B$32)</f>
        <v>0.7856732477121231</v>
      </c>
      <c r="F14" s="21">
        <f>1/(1+Assumptions!$B$26)^(5-0.5*Assumptions!$B$32)</f>
        <v>0.7333496661934134</v>
      </c>
    </row>
    <row r="15" spans="1:6" x14ac:dyDescent="0.25">
      <c r="A15" s="19" t="s">
        <v>51</v>
      </c>
      <c r="B15" s="20">
        <f>B13*B14</f>
        <v>4865110695.103228</v>
      </c>
      <c r="C15" s="20">
        <f>C13*C14</f>
        <v>4245232212.651754</v>
      </c>
      <c r="D15" s="20">
        <f>D13*D14</f>
        <v>3704334324.288937</v>
      </c>
      <c r="E15" s="20">
        <f>E13*E14</f>
        <v>3232353873.413625</v>
      </c>
      <c r="F15" s="20">
        <f>F13*F14</f>
        <v>2820509880.6727214</v>
      </c>
    </row>
    <row r="17" spans="1:2" x14ac:dyDescent="0.25">
      <c r="A17" s="22" t="s">
        <v>52</v>
      </c>
      <c r="B17" s="23">
        <f>SUM(B15:F15)</f>
        <v>18867540986.130264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3846064177.424526</v>
      </c>
    </row>
    <row r="5" spans="1:2" x14ac:dyDescent="0.25">
      <c r="A5" t="s">
        <v>56</v>
      </c>
      <c r="B5" s="18">
        <f>IF(Assumptions!$B$33=0,B4,B4-Forecast!F11-Forecast!F10-Forecast!F12)</f>
        <v>5043063423.883738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0.3369774698463657</v>
      </c>
    </row>
    <row r="7" spans="1:2" x14ac:dyDescent="0.25">
      <c r="A7" t="s">
        <v>58</v>
      </c>
      <c r="B7" s="18">
        <f>-MAX(Forecast!F9,0)*B6</f>
        <v>-1699398752.8550918</v>
      </c>
    </row>
    <row r="8" spans="1:2" x14ac:dyDescent="0.25">
      <c r="A8" t="s">
        <v>59</v>
      </c>
      <c r="B8" s="18">
        <f>IF(OR(Assumptions!$B$33=0,Assumptions!B12&lt;=0),B5,MAX(B5+B7,0))</f>
        <v>3343664671.0286455</v>
      </c>
    </row>
    <row r="9" spans="1:2" x14ac:dyDescent="0.25">
      <c r="A9" t="s">
        <v>60</v>
      </c>
      <c r="B9" s="18">
        <f>B8*(1+Assumptions!B12)/(Assumptions!B26-Assumptions!B12)</f>
        <v>73944957219.16907</v>
      </c>
    </row>
    <row r="10" spans="1:2" x14ac:dyDescent="0.25">
      <c r="A10" t="s">
        <v>61</v>
      </c>
      <c r="B10" s="18">
        <f>B9/(1+Assumptions!B26)^(5-0.5*Assumptions!B32)</f>
        <v>54227509693.36387</v>
      </c>
    </row>
    <row r="11" spans="1:2" x14ac:dyDescent="0.25">
      <c r="A11" t="s">
        <v>62</v>
      </c>
      <c r="B11" s="18">
        <f>Forecast!B17+B10</f>
        <v>73095050679.49414</v>
      </c>
    </row>
    <row r="12" spans="1:2" x14ac:dyDescent="0.25">
      <c r="A12" t="s">
        <v>63</v>
      </c>
      <c r="B12" s="18">
        <f>-Assumptions!B30</f>
        <v>-51880000000</v>
      </c>
    </row>
    <row r="13" spans="1:2" x14ac:dyDescent="0.25">
      <c r="A13" t="s">
        <v>64</v>
      </c>
      <c r="B13" s="18">
        <f>B11+B12</f>
        <v>21215050679.49414</v>
      </c>
    </row>
    <row r="14" spans="1:2" x14ac:dyDescent="0.25">
      <c r="A14" s="19" t="s">
        <v>65</v>
      </c>
      <c r="B14" s="24">
        <f>B13/Assumptions!B31</f>
        <v>3.1441855925640927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10689923321.657173</v>
      </c>
    </row>
    <row r="18" spans="1:2" x14ac:dyDescent="0.25">
      <c r="A18" t="s">
        <v>60</v>
      </c>
      <c r="B18" s="18">
        <f>B17*Assumptions!B13</f>
        <v>116598023167.43524</v>
      </c>
    </row>
    <row r="19" spans="1:2" x14ac:dyDescent="0.25">
      <c r="A19" t="s">
        <v>61</v>
      </c>
      <c r="B19" s="18">
        <f>B18/(1+Assumptions!B26)^(5-0.5*Assumptions!B32)</f>
        <v>85507121368.65051</v>
      </c>
    </row>
    <row r="20" spans="1:2" x14ac:dyDescent="0.25">
      <c r="A20" t="s">
        <v>62</v>
      </c>
      <c r="B20" s="18">
        <f>Forecast!B17+B19</f>
        <v>104374662354.78078</v>
      </c>
    </row>
    <row r="21" spans="1:2" x14ac:dyDescent="0.25">
      <c r="A21" t="s">
        <v>63</v>
      </c>
      <c r="B21" s="18">
        <f>-Assumptions!B30</f>
        <v>-51880000000</v>
      </c>
    </row>
    <row r="22" spans="1:2" x14ac:dyDescent="0.25">
      <c r="A22" t="s">
        <v>64</v>
      </c>
      <c r="B22" s="18">
        <f>B20+B21</f>
        <v>52494662354.78078</v>
      </c>
    </row>
    <row r="23" spans="1:2" x14ac:dyDescent="0.25">
      <c r="A23" s="19" t="s">
        <v>65</v>
      </c>
      <c r="B23" s="25">
        <f>B22/Assumptions!B31</f>
        <v>7.779993720305077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20.29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3.1441855925640927</v>
      </c>
    </row>
    <row r="29" spans="1:2" x14ac:dyDescent="0.25">
      <c r="A29" s="19" t="s">
        <v>73</v>
      </c>
      <c r="B29" s="12">
        <f>B28/B26-1</f>
        <v>-0.8450376740973833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0.051349</v>
      </c>
      <c r="B5" s="31">
        <v>8.519827606833804</v>
      </c>
      <c r="C5" s="31">
        <v>9.407369733378623</v>
      </c>
      <c r="D5" s="31">
        <v>10.616492435951352</v>
      </c>
      <c r="E5" s="31">
        <v>12.373141128408323</v>
      </c>
      <c r="F5" s="31">
        <v>15.179663957318947</v>
      </c>
    </row>
    <row r="6" spans="1:6" x14ac:dyDescent="0.25">
      <c r="A6" s="30">
        <v>0.061349</v>
      </c>
      <c r="B6" s="31">
        <v>5.155737551573354</v>
      </c>
      <c r="C6" s="31">
        <v>5.468265378835801</v>
      </c>
      <c r="D6" s="31">
        <v>5.856172255409365</v>
      </c>
      <c r="E6" s="31">
        <v>6.355525862549181</v>
      </c>
      <c r="F6" s="31">
        <v>7.02977076963145</v>
      </c>
    </row>
    <row r="7" spans="1:6" x14ac:dyDescent="0.25">
      <c r="A7" s="30">
        <v>0.071349</v>
      </c>
      <c r="B7" s="31">
        <v>2.9841834221588015</v>
      </c>
      <c r="C7" s="31">
        <v>3.059967459463958</v>
      </c>
      <c r="D7" s="32">
        <v>3.1441322105159126</v>
      </c>
      <c r="E7" s="31">
        <v>3.2397179110205494</v>
      </c>
      <c r="F7" s="31">
        <v>3.351437599625144</v>
      </c>
    </row>
    <row r="8" spans="1:6" x14ac:dyDescent="0.25">
      <c r="A8" s="30">
        <v>0.081349</v>
      </c>
      <c r="B8" s="31">
        <v>1.6090986870323067</v>
      </c>
      <c r="C8" s="31">
        <v>1.641408157646149</v>
      </c>
      <c r="D8" s="31">
        <v>1.6737176282599868</v>
      </c>
      <c r="E8" s="31">
        <v>1.7060270988738278</v>
      </c>
      <c r="F8" s="31">
        <v>1.7383365694876678</v>
      </c>
    </row>
    <row r="9" spans="1:6" x14ac:dyDescent="0.25">
      <c r="A9" s="30">
        <v>0.091349</v>
      </c>
      <c r="B9" s="31">
        <v>0.5991213262785038</v>
      </c>
      <c r="C9" s="31">
        <v>0.6267263605035954</v>
      </c>
      <c r="D9" s="31">
        <v>0.6543313947286858</v>
      </c>
      <c r="E9" s="31">
        <v>0.6819364289537775</v>
      </c>
      <c r="F9" s="31">
        <v>0.7095414631788691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44076000000</v>
      </c>
      <c r="C5" s="18">
        <v>42988000000</v>
      </c>
      <c r="D5" s="18">
        <v>49335000000</v>
      </c>
      <c r="E5" s="18">
        <v>53949000000</v>
      </c>
      <c r="F5" s="8" t="s">
        <v>84</v>
      </c>
    </row>
    <row r="6" spans="1:6" x14ac:dyDescent="0.25">
      <c r="A6" t="s">
        <v>44</v>
      </c>
      <c r="B6" s="18">
        <v>10677000000</v>
      </c>
      <c r="C6" s="18">
        <v>9672000000</v>
      </c>
      <c r="D6" s="18">
        <v>9643000000</v>
      </c>
      <c r="E6" s="18">
        <v>8457000000</v>
      </c>
      <c r="F6" s="8" t="s">
        <v>85</v>
      </c>
    </row>
    <row r="7" spans="1:6" x14ac:dyDescent="0.25">
      <c r="A7" t="s">
        <v>86</v>
      </c>
      <c r="B7" s="18">
        <v>6493000000</v>
      </c>
      <c r="C7" s="18">
        <v>7412000000</v>
      </c>
      <c r="D7" s="18">
        <v>5810000000</v>
      </c>
      <c r="E7" s="18">
        <v>5491000000</v>
      </c>
      <c r="F7" s="8" t="s">
        <v>87</v>
      </c>
    </row>
    <row r="8" spans="1:6" x14ac:dyDescent="0.25">
      <c r="A8" t="s">
        <v>88</v>
      </c>
      <c r="B8" s="18">
        <v>8318000000</v>
      </c>
      <c r="C8" s="18">
        <v>8375000000</v>
      </c>
      <c r="D8" s="18">
        <v>7877000000</v>
      </c>
      <c r="E8" s="18">
        <v>6787000000</v>
      </c>
      <c r="F8" s="8" t="s">
        <v>89</v>
      </c>
    </row>
    <row r="9" spans="1:6" x14ac:dyDescent="0.25">
      <c r="A9" t="s">
        <v>90</v>
      </c>
      <c r="B9" s="18">
        <v>3040000000</v>
      </c>
      <c r="C9" s="18">
        <v>1118000000</v>
      </c>
      <c r="D9" s="18">
        <v>371000000</v>
      </c>
      <c r="E9" s="18">
        <v>1136000000</v>
      </c>
      <c r="F9" s="8" t="s">
        <v>91</v>
      </c>
    </row>
    <row r="10" spans="1:6" x14ac:dyDescent="0.25">
      <c r="A10" t="s">
        <v>92</v>
      </c>
      <c r="B10" s="18">
        <v>57231000000</v>
      </c>
      <c r="C10" s="18">
        <v>57731000000</v>
      </c>
      <c r="D10" s="18">
        <v>61646000000</v>
      </c>
      <c r="E10" s="18">
        <v>50418000000</v>
      </c>
      <c r="F10" s="8" t="s">
        <v>93</v>
      </c>
    </row>
    <row r="11" spans="1:6" x14ac:dyDescent="0.25">
      <c r="A11" t="s">
        <v>94</v>
      </c>
      <c r="B11" s="18">
        <v>5351000000</v>
      </c>
      <c r="C11" s="18">
        <v>4570000000</v>
      </c>
      <c r="D11" s="18">
        <v>3612000000</v>
      </c>
      <c r="E11" s="18">
        <v>4991000000</v>
      </c>
      <c r="F11" s="8" t="s">
        <v>95</v>
      </c>
    </row>
    <row r="12" spans="1:6" x14ac:dyDescent="0.25">
      <c r="A12" t="s">
        <v>32</v>
      </c>
      <c r="B12" s="34">
        <v>6747391353</v>
      </c>
      <c r="C12" s="34">
        <v>6643012577</v>
      </c>
      <c r="D12" s="34">
        <v>6648651485</v>
      </c>
      <c r="E12" s="34">
        <v>6672101123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2026-09-19T00:07:02Z</dcterms:modified>
</cp:coreProperties>
</file>