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<sst xmlns="http://schemas.openxmlformats.org/spreadsheetml/2006/main" count="70" uniqueCount="67">
  <si>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Interactive Brokers Group, Inc. (IBKR)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</si>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</sst>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1.2552699999999999</v>
      </c>
    </row>
    <row r="9" spans="1:2" x14ac:dyDescent="0.25">
      <c r="A9" t="s">
        <v>8</v>
      </c>
      <c r="B9" s="8">
        <f>B6+B8*B7</f>
        <v>0.102037921</v>
      </c>
    </row>
    <row r="10" spans="1:2" x14ac:dyDescent="0.25">
      <c r="A10" t="s">
        <v>9</v>
      </c>
      <c r="B10" s="8">
        <f>MEDIAN('Source data'!B9:E9)</f>
        <v>0.21067415730337077</v>
      </c>
    </row>
    <row r="11" spans="1:2" x14ac:dyDescent="0.25">
      <c r="A11" t="s">
        <v>10</v>
      </c>
      <c r="B11" s="8">
        <f>IFERROR(MIN(MAX(MEDIAN('Source data'!B10:E10),0),1),0)</f>
        <v>0.12185430463576159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5363000000</v>
      </c>
    </row>
    <row r="15" spans="1:2" x14ac:dyDescent="0.25">
      <c r="A15" t="s">
        <v>14</v>
      </c>
      <c r="B15" s="10">
        <f>'Source data'!B8</f>
        <v>443243243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0.18500260436044347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0.2096067415730337</v>
      </c>
      <c r="C22" s="8">
        <f>$B$10+($B$18-$B$10)*C21/$B$16</f>
        <v>0.20853932584269663</v>
      </c>
      <c r="D22" s="8">
        <f>$B$10+($B$18-$B$10)*D21/$B$16</f>
        <v>0.20747191011235955</v>
      </c>
      <c r="E22" s="8">
        <f>$B$10+($B$18-$B$10)*E21/$B$16</f>
        <v>0.20640449438202246</v>
      </c>
      <c r="F22" s="8">
        <f>$B$10+($B$18-$B$10)*F21/$B$16</f>
        <v>0.20533707865168538</v>
      </c>
      <c r="G22" s="8">
        <f>$B$10+($B$18-$B$10)*G21/$B$16</f>
        <v>0.20426966292134832</v>
      </c>
      <c r="H22" s="8">
        <f>$B$10+($B$18-$B$10)*H21/$B$16</f>
        <v>0.20320224719101124</v>
      </c>
      <c r="I22" s="8">
        <f>$B$10+($B$18-$B$10)*I21/$B$16</f>
        <v>0.20213483146067415</v>
      </c>
      <c r="J22" s="8">
        <f>$B$10+($B$18-$B$10)*J21/$B$16</f>
        <v>0.2010674157303371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0.1690023439243991</v>
      </c>
      <c r="C23" s="8">
        <f>$B$17+($B$13-$B$17)*C21/$B$16</f>
        <v>0.15300208348835476</v>
      </c>
      <c r="D23" s="8">
        <f>$B$17+($B$13-$B$17)*D21/$B$16</f>
        <v>0.13700182305231043</v>
      </c>
      <c r="E23" s="8">
        <f>$B$17+($B$13-$B$17)*E21/$B$16</f>
        <v>0.12100156261626607</v>
      </c>
      <c r="F23" s="8">
        <f>$B$17+($B$13-$B$17)*F21/$B$16</f>
        <v>0.10500130218022173</v>
      </c>
      <c r="G23" s="8">
        <f>$B$17+($B$13-$B$17)*G21/$B$16</f>
        <v>0.08900104174417739</v>
      </c>
      <c r="H23" s="8">
        <f>$B$17+($B$13-$B$17)*H21/$B$16</f>
        <v>0.07300078130813305</v>
      </c>
      <c r="I23" s="8">
        <f>$B$17+($B$13-$B$17)*I21/$B$16</f>
        <v>0.05700052087208868</v>
      </c>
      <c r="J23" s="8">
        <f>$B$17+($B$13-$B$17)*J21/$B$16</f>
        <v>0.04100026043604435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5363000000</v>
      </c>
      <c r="C24" s="9">
        <f>B24*(1+B23)</f>
        <v>6269359570.466552</v>
      </c>
      <c r="D24" s="9">
        <f>C24*(1+C23)</f>
        <v>7228584646.8855915</v>
      </c>
      <c r="E24" s="9">
        <f>D24*(1+D23)</f>
        <v>8218913921.596858</v>
      </c>
      <c r="F24" s="9">
        <f>E24*(1+E23)</f>
        <v>9213415349.11866</v>
      </c>
      <c r="G24" s="9">
        <f>F24*(1+F23)</f>
        <v>10180835958.30336</v>
      </c>
      <c r="H24" s="9">
        <f>G24*(1+G23)</f>
        <v>11086940964.41894</v>
      </c>
      <c r="I24" s="9">
        <f>H24*(1+H23)</f>
        <v>11896296317.138668</v>
      </c>
      <c r="J24" s="9">
        <f>I24*(1+I23)</f>
        <v>12574391403.66428</v>
      </c>
      <c r="K24" s="9">
        <f>J24*(1+J23)</f>
        <v>13089944726.03927</v>
      </c>
    </row>
    <row r="25" spans="1:11" x14ac:dyDescent="0.25">
      <c r="A25" t="s">
        <v>33</v>
      </c>
      <c r="B25" s="9">
        <f>(B22-$B$9)*B24</f>
        <v>576891584.7331797</v>
      </c>
      <c r="C25" s="9">
        <f>(C22-$B$9)*C24</f>
        <v>667695601.7186929</v>
      </c>
      <c r="D25" s="9">
        <f>(D22-$B$9)*D24</f>
        <v>762138514.9575049</v>
      </c>
      <c r="E25" s="9">
        <f>(E22-$B$9)*E24</f>
        <v>857779882.9188645</v>
      </c>
      <c r="F25" s="9">
        <f>(F22-$B$9)*F24</f>
        <v>951738044.6590663</v>
      </c>
      <c r="G25" s="9">
        <f>(G22-$B$9)*G24</f>
        <v>1040804594.232852</v>
      </c>
      <c r="H25" s="9">
        <f>(H22-$B$9)*H24</f>
        <v>1121602912.1849623</v>
      </c>
      <c r="I25" s="9">
        <f>(I22-$B$9)*I24</f>
        <v>1190782507.2702768</v>
      </c>
      <c r="J25" s="9">
        <f>(J22-$B$9)*J24</f>
        <v>1245235627.246368</v>
      </c>
      <c r="K25" s="9">
        <f>(K22-$B$9)*K24</f>
        <v>1282318199.3578925</v>
      </c>
    </row>
    <row r="26" spans="1:11" x14ac:dyDescent="0.25">
      <c r="A26" t="s">
        <v>34</v>
      </c>
      <c r="B26" s="14">
        <f>1/(1+$B$9)^B21</f>
        <v>0.9074097913913799</v>
      </c>
      <c r="C26" s="14">
        <f>1/(1+$B$9)^C21</f>
        <v>0.8233925295129476</v>
      </c>
      <c r="D26" s="14">
        <f>1/(1+$B$9)^D21</f>
        <v>0.7471544434385645</v>
      </c>
      <c r="E26" s="14">
        <f>1/(1+$B$9)^E21</f>
        <v>0.6779752576577304</v>
      </c>
      <c r="F26" s="14">
        <f>1/(1+$B$9)^F21</f>
        <v>0.6152013871197181</v>
      </c>
      <c r="G26" s="14">
        <f>1/(1+$B$9)^G21</f>
        <v>0.558239762349991</v>
      </c>
      <c r="H26" s="14">
        <f>1/(1+$B$9)^H21</f>
        <v>0.5065522263003788</v>
      </c>
      <c r="I26" s="14">
        <f>1/(1+$B$9)^I21</f>
        <v>0.45965044999606586</v>
      </c>
      <c r="J26" s="14">
        <f>1/(1+$B$9)^J21</f>
        <v>0.41709131894388396</v>
      </c>
      <c r="K26" s="14">
        <f>1/(1+$B$9)^K21</f>
        <v>0.37847274671402525</v>
      </c>
    </row>
    <row r="27" spans="1:11" x14ac:dyDescent="0.25">
      <c r="A27" s="15" t="s">
        <v>35</v>
      </c>
      <c r="B27" s="16">
        <f>B25*B26</f>
        <v>523477072.5581772</v>
      </c>
      <c r="C27" s="16">
        <f>C25*C26</f>
        <v>549775570.4438242</v>
      </c>
      <c r="D27" s="16">
        <f>D25*D26</f>
        <v>569435177.9661686</v>
      </c>
      <c r="E27" s="16">
        <f>E25*E26</f>
        <v>581553537.1355349</v>
      </c>
      <c r="F27" s="16">
        <f>F25*F26</f>
        <v>585510565.2488658</v>
      </c>
      <c r="G27" s="16">
        <f>G25*G26</f>
        <v>581018509.337326</v>
      </c>
      <c r="H27" s="16">
        <f>H25*H26</f>
        <v>568150452.1922809</v>
      </c>
      <c r="I27" s="16">
        <f>I25*I26</f>
        <v>547343715.3142263</v>
      </c>
      <c r="J27" s="16">
        <f>J25*J26</f>
        <v>519376970.16410226</v>
      </c>
      <c r="K27" s="16">
        <f>K25*K26</f>
        <v>485322491.07236457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5363000000</v>
      </c>
    </row>
    <row r="31" spans="1:2" x14ac:dyDescent="0.25">
      <c r="A31" t="s">
        <v>38</v>
      </c>
      <c r="B31" s="9">
        <f>SUM(B27:K27)</f>
        <v>5510964061.432871</v>
      </c>
    </row>
    <row r="32" spans="1:2" x14ac:dyDescent="0.25">
      <c r="A32" t="s">
        <v>39</v>
      </c>
      <c r="B32" s="9">
        <f>K24*(1+K23)</f>
        <v>13417193344.19025</v>
      </c>
    </row>
    <row r="33" spans="1:2" x14ac:dyDescent="0.25">
      <c r="A33" t="s">
        <v>40</v>
      </c>
      <c r="B33" s="9">
        <f>(B18-B9)*B32</f>
        <v>1314376154.3418396</v>
      </c>
    </row>
    <row r="34" spans="1:2" x14ac:dyDescent="0.25">
      <c r="A34" t="s">
        <v>41</v>
      </c>
      <c r="B34" s="9">
        <f>B33/(B9-B13)</f>
        <v>17061417770.371029</v>
      </c>
    </row>
    <row r="35" spans="1:2" x14ac:dyDescent="0.25">
      <c r="A35" t="s">
        <v>42</v>
      </c>
      <c r="B35" s="9">
        <f>B34*K26</f>
        <v>6457281646.387804</v>
      </c>
    </row>
    <row r="36" spans="1:2" x14ac:dyDescent="0.25">
      <c r="A36" s="15" t="s">
        <v>43</v>
      </c>
      <c r="B36" s="16">
        <f>B30+B31+B35</f>
        <v>17331245707.820675</v>
      </c>
    </row>
    <row r="37" spans="1:2" x14ac:dyDescent="0.25">
      <c r="A37" s="15" t="s">
        <v>44</v>
      </c>
      <c r="B37" s="17">
        <f>B36/B15</f>
        <v>39.10098119154109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74.83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39.10098119154109</v>
      </c>
    </row>
    <row r="43" spans="1:2" x14ac:dyDescent="0.25">
      <c r="A43" s="15" t="s">
        <v>48</v>
      </c>
      <c r="B43" s="21">
        <f>B42/B40-1</f>
        <v>-0.4774691809228774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984000000</v>
      </c>
      <c r="C5" s="9">
        <v>755000000</v>
      </c>
      <c r="D5" s="9">
        <v>600000000</v>
      </c>
      <c r="E5" s="9">
        <v>380000000</v>
      </c>
      <c r="F5" s="6" t="s">
        <v>57</v>
      </c>
    </row>
    <row r="6" spans="1:6" x14ac:dyDescent="0.25">
      <c r="A6" t="s">
        <v>37</v>
      </c>
      <c r="B6" s="9">
        <v>5363000000</v>
      </c>
      <c r="C6" s="9">
        <v>4280000000</v>
      </c>
      <c r="D6" s="9">
        <v>3584000000</v>
      </c>
      <c r="E6" s="9">
        <v>2848000000</v>
      </c>
      <c r="F6" s="6" t="s">
        <v>58</v>
      </c>
    </row>
    <row r="7" spans="1:6" x14ac:dyDescent="0.25">
      <c r="A7" t="s">
        <v>59</v>
      </c>
      <c r="B7" s="9">
        <v>134000000</v>
      </c>
      <c r="C7" s="9">
        <v>92000000</v>
      </c>
      <c r="D7" s="9">
        <v>42000000</v>
      </c>
      <c r="E7" s="9">
        <v>40000000</v>
      </c>
      <c r="F7" s="6" t="s">
        <v>60</v>
      </c>
    </row>
    <row r="8" spans="1:6" x14ac:dyDescent="0.25">
      <c r="A8" t="s">
        <v>14</v>
      </c>
      <c r="B8" s="10">
        <v>443243243</v>
      </c>
      <c r="C8" s="10">
        <v>435786436</v>
      </c>
      <c r="D8" s="10">
        <v>423280423</v>
      </c>
      <c r="E8" s="10">
        <v>405333333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0.22990654205607478</v>
      </c>
      <c r="C9" s="8">
        <f>IF(AND(ISNUMBER(C5),N(D6)&gt;0),C5/D6,"")</f>
        <v>0.21065848214285715</v>
      </c>
      <c r="D9" s="8">
        <f>IF(AND(ISNUMBER(D5),N(E6)&gt;0),D5/E6,"")</f>
        <v>0.21067415730337077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0.13617886178861788</v>
      </c>
      <c r="C10" s="8">
        <f>IF(AND(ISNUMBER(C9),N(C5)&gt;0,ISNUMBER(C7)),C7/C5,"")</f>
        <v>0.12185430463576159</v>
      </c>
      <c r="D10" s="8">
        <f>IF(AND(ISNUMBER(D9),N(D5)&gt;0,ISNUMBER(D7)),D7/D5,"")</f>
        <v>0.07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