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<sst xmlns="http://schemas.openxmlformats.org/spreadsheetml/2006/main" count="113" uniqueCount="101">
  <si>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Interactive Brokers Group, Inc. (IBKR)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</si>
  <si>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</si>
  <si>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</si>
  <si>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</si>
  <si>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</si>
  <si>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</si>
  <si>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</si>
  <si>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</si>
  <si>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</si>
  <si>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</si>
  <si>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</si>
  <si>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</si>
  <si>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</si>
  <si>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</si>
  <si>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</si>
  <si>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</si>
  <si>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</si>
  <si>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</si>
  <si>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</si>
  <si>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</si>
  <si>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</si>
  <si>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</si>
  <si>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25569.7%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</si>
  <si>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</si>
  <si>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</si>
  <si>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</si>
  <si>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</si>
  <si>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</si>
  <si>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</si>
  <si>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</si>
  <si>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</si>
  <si>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</si>
  <si>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</si>
  <si>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</si>
  <si>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</si>
  <si>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</si>
  <si>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</si>
  <si>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</si>
  <si>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</si>
  <si>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</si>
  <si>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</si>
  <si>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</si>
  <si>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</si>
  <si>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</si>
  <si>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</si>
  <si>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</si>
  <si>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</si>
  <si>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</si>
  <si>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</si>
  <si>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</si>
  <si>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</si>
  <si>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</si>
  <si>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</si>
  <si>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</si>
  <si>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</si>
  <si>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</si>
  <si>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</si>
  <si>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</si>
  <si>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</si>
  <si>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</si>
  <si>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</si>
  <si>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</si>
  <si>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</si>
  <si>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</si>
  <si>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</si>
  <si>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</si>
  <si>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</si>
  <si>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</si>
  <si>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</si>
  <si>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</si>
  <si>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</si>
  <si>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</si>
  <si>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</si>
  <si>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</si>
  <si>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</si>
  <si>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</si>
  <si>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</si>
  <si>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</si>
  <si>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</si>
  <si>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</si>
  <si>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</si>
  <si>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</si>
  <si>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</si>
  <si>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</si>
  <si>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</si>
  <si>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</si>
  <si>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</si>
  <si>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</si>
  <si>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</si>
  <si>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</si>
  <si>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</si>
  <si>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</si>
  <si>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</si>
  <si>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</si>
  <si>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</si>
  <si>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</si>
  <si>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</si>
  <si>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</si>
  <si>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</si>
  <si>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0.86% of revenue, which is too low to be the company's real investment - property trusts and similar structures invest through lines that are not reported as capex. Capex has been set to 1.29%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</si>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</sst>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0.34597874218853675</v>
      </c>
    </row>
    <row r="7" spans="1:2" x14ac:dyDescent="0.25">
      <c r="A7" t="s">
        <v>5</v>
      </c>
      <c r="B7" s="6">
        <v>0.821216675756233</v>
      </c>
    </row>
    <row r="8" spans="1:2" x14ac:dyDescent="0.25">
      <c r="A8" t="s">
        <v>6</v>
      </c>
      <c r="B8" s="6">
        <v>0.0809093551029035</v>
      </c>
    </row>
    <row r="9" spans="1:2" x14ac:dyDescent="0.25">
      <c r="A9" t="s">
        <v>7</v>
      </c>
      <c r="B9" s="6">
        <v>0.012878111182451735</v>
      </c>
    </row>
    <row r="10" spans="1:2" x14ac:dyDescent="0.25">
      <c r="A10" t="s">
        <v>8</v>
      </c>
      <c r="B10" s="6">
        <v>0.012878111182451735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16.840243649628462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1.23383</v>
      </c>
      <c r="C19" s="8" t="s">
        <v>19</v>
      </c>
    </row>
    <row r="20" spans="1:2" x14ac:dyDescent="0.25">
      <c r="A20" t="s">
        <v>20</v>
      </c>
      <c r="B20" s="10">
        <f>B17+B19*B18</f>
        <v>0.11784064999999999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154519044096</v>
      </c>
    </row>
    <row r="23" spans="1:2" x14ac:dyDescent="0.25">
      <c r="A23" t="s">
        <v>24</v>
      </c>
      <c r="B23" s="11">
        <v>19000000</v>
      </c>
    </row>
    <row r="24" spans="1:2" x14ac:dyDescent="0.25">
      <c r="A24" t="s">
        <v>25</v>
      </c>
      <c r="B24" s="10">
        <f>B22/(B22+B23)</f>
        <v>0.9998770529282214</v>
      </c>
    </row>
    <row r="25" spans="1:2" x14ac:dyDescent="0.25">
      <c r="A25" t="s">
        <v>26</v>
      </c>
      <c r="B25" s="10">
        <f>1-B24</f>
        <v>0.00012294707177862296</v>
      </c>
    </row>
    <row r="26" spans="1:2" x14ac:dyDescent="0.25">
      <c r="A26" t="s">
        <v>27</v>
      </c>
      <c r="B26" s="12">
        <f>B24*B20+B25*B21*(1-B8)</f>
        <v>0.11783406954240018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10222000000</v>
      </c>
      <c r="C29" s="8" t="s">
        <v>30</v>
      </c>
    </row>
    <row r="30" spans="1:2" x14ac:dyDescent="0.25">
      <c r="A30" t="s">
        <v>31</v>
      </c>
      <c r="B30" s="11">
        <v>-4944000000</v>
      </c>
    </row>
    <row r="31" spans="1:2" x14ac:dyDescent="0.25">
      <c r="A31" t="s">
        <v>32</v>
      </c>
      <c r="B31" s="13">
        <v>443243243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0.34597874218853675</v>
      </c>
      <c r="C5" s="10">
        <f>Assumptions!B6</f>
        <v>0.34597874218853675</v>
      </c>
      <c r="D5" s="10">
        <f>Assumptions!B6</f>
        <v>0.34597874218853675</v>
      </c>
      <c r="E5" s="10">
        <f>Assumptions!B6</f>
        <v>0.34597874218853675</v>
      </c>
      <c r="F5" s="10">
        <f>Assumptions!B6</f>
        <v>0.34597874218853675</v>
      </c>
    </row>
    <row r="6" spans="1:6" x14ac:dyDescent="0.25">
      <c r="A6" t="s">
        <v>43</v>
      </c>
      <c r="B6" s="18">
        <f>Assumptions!B29*(1+B5)</f>
        <v>13758594702.651222</v>
      </c>
      <c r="C6" s="18">
        <f>B6*(1+C5)</f>
        <v>18518775992.156357</v>
      </c>
      <c r="D6" s="18">
        <f>C6*(1+D5)</f>
        <v>24925878816.793884</v>
      </c>
      <c r="E6" s="18">
        <f>D6*(1+E5)</f>
        <v>33549703017.772125</v>
      </c>
      <c r="F6" s="18">
        <f>E6*(1+F5)</f>
        <v>45157187068.65988</v>
      </c>
    </row>
    <row r="7" spans="1:6" x14ac:dyDescent="0.25">
      <c r="A7" t="s">
        <v>5</v>
      </c>
      <c r="B7" s="10">
        <f>Assumptions!B7</f>
        <v>0.821216675756233</v>
      </c>
      <c r="C7" s="10">
        <f>Assumptions!B7</f>
        <v>0.821216675756233</v>
      </c>
      <c r="D7" s="10">
        <f>Assumptions!B7</f>
        <v>0.821216675756233</v>
      </c>
      <c r="E7" s="10">
        <f>Assumptions!B7</f>
        <v>0.821216675756233</v>
      </c>
      <c r="F7" s="10">
        <f>Assumptions!B7</f>
        <v>0.821216675756233</v>
      </c>
    </row>
    <row r="8" spans="1:6" x14ac:dyDescent="0.25">
      <c r="A8" t="s">
        <v>44</v>
      </c>
      <c r="B8" s="18">
        <f>B6*B7</f>
        <v>11298787404.788553</v>
      </c>
      <c r="C8" s="18">
        <f>C6*C7</f>
        <v>15207927659.35298</v>
      </c>
      <c r="D8" s="18">
        <f>D6*D7</f>
        <v>20469547342.23018</v>
      </c>
      <c r="E8" s="18">
        <f>E6*E7</f>
        <v>27551575584.863686</v>
      </c>
      <c r="F8" s="18">
        <f>F6*F7</f>
        <v>37083835051.02722</v>
      </c>
    </row>
    <row r="9" spans="1:6" x14ac:dyDescent="0.25">
      <c r="A9" t="s">
        <v>45</v>
      </c>
      <c r="B9" s="18">
        <f>B8*(1-Assumptions!B8)</f>
        <v>10384609802.422302</v>
      </c>
      <c r="C9" s="18">
        <f>C8*(1-Assumptions!B8)</f>
        <v>13977464039.98312</v>
      </c>
      <c r="D9" s="18">
        <f>D8*(1-Assumptions!B8)</f>
        <v>18813369467.52198</v>
      </c>
      <c r="E9" s="18">
        <f>E8*(1-Assumptions!B8)</f>
        <v>25322395372.22346</v>
      </c>
      <c r="F9" s="18">
        <f>F8*(1-Assumptions!B8)</f>
        <v>34083405872.30616</v>
      </c>
    </row>
    <row r="10" spans="1:6" x14ac:dyDescent="0.25">
      <c r="A10" t="s">
        <v>46</v>
      </c>
      <c r="B10" s="18">
        <f>B6*Assumptions!B9</f>
        <v>177184712.2950339</v>
      </c>
      <c r="C10" s="18">
        <f>C6*Assumptions!B9</f>
        <v>238486856.18990752</v>
      </c>
      <c r="D10" s="18">
        <f>D6*Assumptions!B9</f>
        <v>320998238.72299016</v>
      </c>
      <c r="E10" s="18">
        <f>E6*Assumptions!B9</f>
        <v>432056805.6011059</v>
      </c>
      <c r="F10" s="18">
        <f>F6*Assumptions!B9</f>
        <v>581539275.7569737</v>
      </c>
    </row>
    <row r="11" spans="1:6" x14ac:dyDescent="0.25">
      <c r="A11" t="s">
        <v>47</v>
      </c>
      <c r="B11" s="18">
        <f>-B6*Assumptions!B10</f>
        <v>-177184712.2950339</v>
      </c>
      <c r="C11" s="18">
        <f>-C6*Assumptions!B10</f>
        <v>-238486856.18990752</v>
      </c>
      <c r="D11" s="18">
        <f>-D6*Assumptions!B10</f>
        <v>-320998238.72299016</v>
      </c>
      <c r="E11" s="18">
        <f>-E6*Assumptions!B10</f>
        <v>-432056805.6011059</v>
      </c>
      <c r="F11" s="18">
        <f>-F6*Assumptions!B10</f>
        <v>-581539275.7569737</v>
      </c>
    </row>
    <row r="12" spans="1:6" x14ac:dyDescent="0.25">
      <c r="A12" t="s">
        <v>48</v>
      </c>
      <c r="B12" s="18">
        <f>-(B6-Assumptions!B29)*Assumptions!B11</f>
        <v>3536594702.651222</v>
      </c>
      <c r="C12" s="18">
        <f>-(C6-B6)*Assumptions!B11</f>
        <v>4760181289.505135</v>
      </c>
      <c r="D12" s="18">
        <f>-(D6-C6)*Assumptions!B11</f>
        <v>6407102824.637527</v>
      </c>
      <c r="E12" s="18">
        <f>-(E6-D6)*Assumptions!B11</f>
        <v>8623824200.978241</v>
      </c>
      <c r="F12" s="18">
        <f>-(F6-E6)*Assumptions!B11</f>
        <v>11607484050.887756</v>
      </c>
    </row>
    <row r="13" spans="1:6" x14ac:dyDescent="0.25">
      <c r="A13" s="19" t="s">
        <v>49</v>
      </c>
      <c r="B13" s="20">
        <f>B9+B10+B11+B12</f>
        <v>13921204505.073524</v>
      </c>
      <c r="C13" s="20">
        <f>C9+C10+C11+C12</f>
        <v>18737645329.488255</v>
      </c>
      <c r="D13" s="20">
        <f>D9+D10+D11+D12</f>
        <v>25220472292.159508</v>
      </c>
      <c r="E13" s="20">
        <f>E9+E10+E11+E12</f>
        <v>33946219573.201702</v>
      </c>
      <c r="F13" s="20">
        <f>F9+F10+F11+F12</f>
        <v>45690889923.19392</v>
      </c>
    </row>
    <row r="14" spans="1:6" x14ac:dyDescent="0.25">
      <c r="A14" t="s">
        <v>50</v>
      </c>
      <c r="B14" s="21">
        <f>1/(1+Assumptions!$B$26)^(1-0.5*Assumptions!$B$32)</f>
        <v>0.9458261758746037</v>
      </c>
      <c r="C14" s="21">
        <f>1/(1+Assumptions!$B$26)^(2-0.5*Assumptions!$B$32)</f>
        <v>0.8461239477714164</v>
      </c>
      <c r="D14" s="21">
        <f>1/(1+Assumptions!$B$26)^(3-0.5*Assumptions!$B$32)</f>
        <v>0.7569316151884582</v>
      </c>
      <c r="E14" s="21">
        <f>1/(1+Assumptions!$B$26)^(4-0.5*Assumptions!$B$32)</f>
        <v>0.6771413001379695</v>
      </c>
      <c r="F14" s="21">
        <f>1/(1+Assumptions!$B$26)^(5-0.5*Assumptions!$B$32)</f>
        <v>0.6057619092028265</v>
      </c>
    </row>
    <row r="15" spans="1:6" x14ac:dyDescent="0.25">
      <c r="A15" s="19" t="s">
        <v>51</v>
      </c>
      <c r="B15" s="20">
        <f>B13*B14</f>
        <v>13167039620.601997</v>
      </c>
      <c r="C15" s="20">
        <f>C13*C14</f>
        <v>15854370438.127245</v>
      </c>
      <c r="D15" s="20">
        <f>D13*D14</f>
        <v>19090172827.92005</v>
      </c>
      <c r="E15" s="20">
        <f>E13*E14</f>
        <v>22986387256.566788</v>
      </c>
      <c r="F15" s="20">
        <f>F13*F14</f>
        <v>27677800713.050133</v>
      </c>
    </row>
    <row r="17" spans="1:2" x14ac:dyDescent="0.25">
      <c r="A17" s="22" t="s">
        <v>52</v>
      </c>
      <c r="B17" s="23">
        <f>SUM(B15:F15)</f>
        <v>98775770856.2662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45690889923.19392</v>
      </c>
    </row>
    <row r="5" spans="1:2" x14ac:dyDescent="0.25">
      <c r="A5" t="s">
        <v>56</v>
      </c>
      <c r="B5" s="18">
        <f>IF(Assumptions!$B$33=0,B4,B4-Forecast!F11-Forecast!F10-Forecast!F12)</f>
        <v>34083405872.30616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-1420141911.34609</v>
      </c>
    </row>
    <row r="8" spans="1:2" x14ac:dyDescent="0.25">
      <c r="A8" t="s">
        <v>59</v>
      </c>
      <c r="B8" s="18">
        <f>IF(OR(Assumptions!$B$33=0,Assumptions!B12&lt;=0),B5,MAX(B5+B7,0))</f>
        <v>32663263960.96007</v>
      </c>
    </row>
    <row r="9" spans="1:2" x14ac:dyDescent="0.25">
      <c r="A9" t="s">
        <v>60</v>
      </c>
      <c r="B9" s="18">
        <f>B8*(1+Assumptions!B12)/(Assumptions!B26-Assumptions!B12)</f>
        <v>360641795894.69354</v>
      </c>
    </row>
    <row r="10" spans="1:2" x14ac:dyDescent="0.25">
      <c r="A10" t="s">
        <v>61</v>
      </c>
      <c r="B10" s="18">
        <f>B9/(1+Assumptions!B26)^(5-0.5*Assumptions!B32)</f>
        <v>218463062819.5056</v>
      </c>
    </row>
    <row r="11" spans="1:2" x14ac:dyDescent="0.25">
      <c r="A11" t="s">
        <v>62</v>
      </c>
      <c r="B11" s="18">
        <f>Forecast!B17+B10</f>
        <v>317238833675.77185</v>
      </c>
    </row>
    <row r="12" spans="1:2" x14ac:dyDescent="0.25">
      <c r="A12" t="s">
        <v>63</v>
      </c>
      <c r="B12" s="18">
        <f>-Assumptions!B30</f>
        <v>4944000000</v>
      </c>
    </row>
    <row r="13" spans="1:2" x14ac:dyDescent="0.25">
      <c r="A13" t="s">
        <v>64</v>
      </c>
      <c r="B13" s="18">
        <f>B11+B12</f>
        <v>322182833675.77185</v>
      </c>
    </row>
    <row r="14" spans="1:2" x14ac:dyDescent="0.25">
      <c r="A14" s="19" t="s">
        <v>65</v>
      </c>
      <c r="B14" s="24">
        <f>B13/Assumptions!B31</f>
        <v>726.8759056430148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37665374326.784195</v>
      </c>
    </row>
    <row r="18" spans="1:2" x14ac:dyDescent="0.25">
      <c r="A18" t="s">
        <v>60</v>
      </c>
      <c r="B18" s="18">
        <f>B17*Assumptions!B13</f>
        <v>634294080817.5065</v>
      </c>
    </row>
    <row r="19" spans="1:2" x14ac:dyDescent="0.25">
      <c r="A19" t="s">
        <v>61</v>
      </c>
      <c r="B19" s="18">
        <f>B18/(1+Assumptions!B26)^(5-0.5*Assumptions!B32)</f>
        <v>384231193392.06464</v>
      </c>
    </row>
    <row r="20" spans="1:2" x14ac:dyDescent="0.25">
      <c r="A20" t="s">
        <v>62</v>
      </c>
      <c r="B20" s="18">
        <f>Forecast!B17+B19</f>
        <v>483006964248.3308</v>
      </c>
    </row>
    <row r="21" spans="1:2" x14ac:dyDescent="0.25">
      <c r="A21" t="s">
        <v>63</v>
      </c>
      <c r="B21" s="18">
        <f>-Assumptions!B30</f>
        <v>4944000000</v>
      </c>
    </row>
    <row r="22" spans="1:2" x14ac:dyDescent="0.25">
      <c r="A22" t="s">
        <v>64</v>
      </c>
      <c r="B22" s="18">
        <f>B20+B21</f>
        <v>487950964248.3308</v>
      </c>
    </row>
    <row r="23" spans="1:2" x14ac:dyDescent="0.25">
      <c r="A23" s="19" t="s">
        <v>65</v>
      </c>
      <c r="B23" s="25">
        <f>B22/Assumptions!B31</f>
        <v>1100.8649809204894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90.69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726.8759056430148</v>
      </c>
    </row>
    <row r="29" spans="1:2" x14ac:dyDescent="0.25">
      <c r="A29" s="19" t="s">
        <v>73</v>
      </c>
      <c r="B29" s="12">
        <f>B28/B26-1</f>
        <v>7.014950993968627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0.097834</v>
      </c>
      <c r="B5" s="31">
        <v>849.5071885896884</v>
      </c>
      <c r="C5" s="31">
        <v>885.928879163405</v>
      </c>
      <c r="D5" s="31">
        <v>927.2934080799357</v>
      </c>
      <c r="E5" s="31">
        <v>974.6937755330221</v>
      </c>
      <c r="F5" s="31">
        <v>1029.5708825961005</v>
      </c>
    </row>
    <row r="6" spans="1:6" x14ac:dyDescent="0.25">
      <c r="A6" s="30">
        <v>0.107834</v>
      </c>
      <c r="B6" s="31">
        <v>756.8784672537125</v>
      </c>
      <c r="C6" s="31">
        <v>784.3097950113231</v>
      </c>
      <c r="D6" s="31">
        <v>815.0039302715567</v>
      </c>
      <c r="E6" s="31">
        <v>849.5896742336239</v>
      </c>
      <c r="F6" s="31">
        <v>888.868495037782</v>
      </c>
    </row>
    <row r="7" spans="1:6" x14ac:dyDescent="0.25">
      <c r="A7" s="30">
        <v>0.117834</v>
      </c>
      <c r="B7" s="31">
        <v>682.2690706004691</v>
      </c>
      <c r="C7" s="31">
        <v>703.4527255445786</v>
      </c>
      <c r="D7" s="32">
        <v>726.8764525726292</v>
      </c>
      <c r="E7" s="31">
        <v>752.9228037858479</v>
      </c>
      <c r="F7" s="31">
        <v>782.0666972465943</v>
      </c>
    </row>
    <row r="8" spans="1:6" x14ac:dyDescent="0.25">
      <c r="A8" s="30">
        <v>0.127834</v>
      </c>
      <c r="B8" s="31">
        <v>620.8919114395316</v>
      </c>
      <c r="C8" s="31">
        <v>637.5863477048716</v>
      </c>
      <c r="D8" s="31">
        <v>655.8679551134568</v>
      </c>
      <c r="E8" s="31">
        <v>675.9800802232191</v>
      </c>
      <c r="F8" s="31">
        <v>698.21849576309</v>
      </c>
    </row>
    <row r="9" spans="1:6" x14ac:dyDescent="0.25">
      <c r="A9" s="30">
        <v>0.137834</v>
      </c>
      <c r="B9" s="31">
        <v>569.5183979089489</v>
      </c>
      <c r="C9" s="31">
        <v>582.8980313383627</v>
      </c>
      <c r="D9" s="31">
        <v>597.4316818450264</v>
      </c>
      <c r="E9" s="31">
        <v>613.2798763143267</v>
      </c>
      <c r="F9" s="31">
        <v>630.634362217329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10222000000</v>
      </c>
      <c r="C5" s="18">
        <v>9316000000</v>
      </c>
      <c r="D5" s="18">
        <v>7787000000</v>
      </c>
      <c r="E5" s="18">
        <v>4192000000</v>
      </c>
      <c r="F5" s="8" t="s">
        <v>84</v>
      </c>
    </row>
    <row r="6" spans="1:6" x14ac:dyDescent="0.25">
      <c r="A6" t="s">
        <v>44</v>
      </c>
      <c r="B6" s="18">
        <v>8789000000</v>
      </c>
      <c r="C6" s="18">
        <v>7841000000</v>
      </c>
      <c r="D6" s="18">
        <v>6523000000</v>
      </c>
      <c r="E6" s="18">
        <v>3126000000</v>
      </c>
      <c r="F6" s="8" t="s">
        <v>85</v>
      </c>
    </row>
    <row r="7" spans="1:6" x14ac:dyDescent="0.25">
      <c r="A7" t="s">
        <v>86</v>
      </c>
      <c r="B7" s="18">
        <v>93000000</v>
      </c>
      <c r="C7" s="18">
        <v>96000000</v>
      </c>
      <c r="D7" s="18">
        <v>94000000</v>
      </c>
      <c r="E7" s="18">
        <v>84000000</v>
      </c>
      <c r="F7" s="8" t="s">
        <v>87</v>
      </c>
    </row>
    <row r="8" spans="1:6" x14ac:dyDescent="0.25">
      <c r="A8" t="s">
        <v>88</v>
      </c>
      <c r="B8" s="18">
        <v>67000000</v>
      </c>
      <c r="C8" s="18">
        <v>49000000</v>
      </c>
      <c r="D8" s="18">
        <v>49000000</v>
      </c>
      <c r="E8" s="18">
        <v>69000000</v>
      </c>
      <c r="F8" s="8" t="s">
        <v>89</v>
      </c>
    </row>
    <row r="9" spans="1:6" x14ac:dyDescent="0.25">
      <c r="A9" t="s">
        <v>90</v>
      </c>
      <c r="B9" s="18">
        <v>-11237000000</v>
      </c>
      <c r="C9" s="18">
        <v>-5075000000</v>
      </c>
      <c r="D9" s="18">
        <v>-1510000000</v>
      </c>
      <c r="E9" s="18">
        <v>-1915000000</v>
      </c>
      <c r="F9" s="8" t="s">
        <v>91</v>
      </c>
    </row>
    <row r="10" spans="1:6" x14ac:dyDescent="0.25">
      <c r="A10" t="s">
        <v>92</v>
      </c>
      <c r="B10" s="18">
        <v>19000000</v>
      </c>
      <c r="C10" s="18">
        <v>14000000</v>
      </c>
      <c r="D10" s="18">
        <v>17000000</v>
      </c>
      <c r="E10" s="18">
        <v>18000000</v>
      </c>
      <c r="F10" s="8" t="s">
        <v>93</v>
      </c>
    </row>
    <row r="11" spans="1:6" x14ac:dyDescent="0.25">
      <c r="A11" t="s">
        <v>94</v>
      </c>
      <c r="B11" s="18">
        <v>4963000000</v>
      </c>
      <c r="C11" s="18">
        <v>3633000000</v>
      </c>
      <c r="D11" s="18">
        <v>3753000000</v>
      </c>
      <c r="E11" s="18">
        <v>3436000000</v>
      </c>
      <c r="F11" s="8" t="s">
        <v>95</v>
      </c>
    </row>
    <row r="12" spans="1:6" x14ac:dyDescent="0.25">
      <c r="A12" t="s">
        <v>32</v>
      </c>
      <c r="B12" s="34">
        <v>443243243</v>
      </c>
      <c r="C12" s="34">
        <v>435786436</v>
      </c>
      <c r="D12" s="34">
        <v>423280423</v>
      </c>
      <c r="E12" s="34">
        <v>405333333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2026-09-19T01:06:39Z</dcterms:modified>
</cp:coreProperties>
</file>