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<sst xmlns="http://schemas.openxmlformats.org/spreadsheetml/2006/main" count="111" uniqueCount="99">
  <si>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International Business Machines Corporation (IBM)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</si>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</sst>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0.03718179905928398</v>
      </c>
    </row>
    <row r="7" spans="1:2" x14ac:dyDescent="0.25">
      <c r="A7" t="s">
        <v>5</v>
      </c>
      <c r="B7" s="6">
        <v>0.1580519251743411</v>
      </c>
    </row>
    <row r="8" spans="1:2" x14ac:dyDescent="0.25">
      <c r="A8" t="s">
        <v>6</v>
      </c>
      <c r="B8" s="6">
        <v>0.13532796317606444</v>
      </c>
    </row>
    <row r="9" spans="1:2" x14ac:dyDescent="0.25">
      <c r="A9" t="s">
        <v>7</v>
      </c>
      <c r="B9" s="6">
        <v>0.07477818380412793</v>
      </c>
    </row>
    <row r="10" spans="1:2" x14ac:dyDescent="0.25">
      <c r="A10" t="s">
        <v>8</v>
      </c>
      <c r="B10" s="6">
        <v>0.02860605850801929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15.214808919545481</v>
      </c>
    </row>
    <row r="14" spans="1:3" x14ac:dyDescent="0.25">
      <c r="A14" t="s">
        <v>12</v>
      </c>
      <c r="B14" s="6">
        <v>0.10422537898901688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0.80436</v>
      </c>
      <c r="C19" s="8" t="s">
        <v>19</v>
      </c>
    </row>
    <row r="20" spans="1:2" x14ac:dyDescent="0.25">
      <c r="A20" t="s">
        <v>20</v>
      </c>
      <c r="B20" s="10">
        <f>B17+B19*B18</f>
        <v>0.09421979999999999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216266948608</v>
      </c>
    </row>
    <row r="23" spans="1:2" x14ac:dyDescent="0.25">
      <c r="A23" t="s">
        <v>24</v>
      </c>
      <c r="B23" s="11">
        <v>64607000000</v>
      </c>
    </row>
    <row r="24" spans="1:2" x14ac:dyDescent="0.25">
      <c r="A24" t="s">
        <v>25</v>
      </c>
      <c r="B24" s="10">
        <f>B22/(B22+B23)</f>
        <v>0.7699786672270971</v>
      </c>
    </row>
    <row r="25" spans="1:2" x14ac:dyDescent="0.25">
      <c r="A25" t="s">
        <v>26</v>
      </c>
      <c r="B25" s="10">
        <f>1-B24</f>
        <v>0.23002133277290293</v>
      </c>
    </row>
    <row r="26" spans="1:2" x14ac:dyDescent="0.25">
      <c r="A26" t="s">
        <v>27</v>
      </c>
      <c r="B26" s="12">
        <f>B24*B20+B25*B21*(1-B8)</f>
        <v>0.08248790888620232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67536000000</v>
      </c>
      <c r="C29" s="8" t="s">
        <v>30</v>
      </c>
    </row>
    <row r="30" spans="1:2" x14ac:dyDescent="0.25">
      <c r="A30" t="s">
        <v>31</v>
      </c>
      <c r="B30" s="11">
        <v>50190000000</v>
      </c>
    </row>
    <row r="31" spans="1:2" x14ac:dyDescent="0.25">
      <c r="A31" t="s">
        <v>32</v>
      </c>
      <c r="B31" s="13">
        <v>948675228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0.03718179905928398</v>
      </c>
      <c r="C5" s="10">
        <f>Assumptions!B6</f>
        <v>0.03718179905928398</v>
      </c>
      <c r="D5" s="10">
        <f>Assumptions!B6</f>
        <v>0.03718179905928398</v>
      </c>
      <c r="E5" s="10">
        <f>Assumptions!B6</f>
        <v>0.03718179905928398</v>
      </c>
      <c r="F5" s="10">
        <f>Assumptions!B6</f>
        <v>0.03718179905928398</v>
      </c>
    </row>
    <row r="6" spans="1:6" x14ac:dyDescent="0.25">
      <c r="A6" t="s">
        <v>43</v>
      </c>
      <c r="B6" s="18">
        <f>Assumptions!B29*(1+B5)</f>
        <v>70047109981.2678</v>
      </c>
      <c r="C6" s="18">
        <f>B6*(1+C5)</f>
        <v>72651587549.27487</v>
      </c>
      <c r="D6" s="18">
        <f>C6*(1+D5)</f>
        <v>75352904278.87</v>
      </c>
      <c r="E6" s="18">
        <f>D6*(1+E5)</f>
        <v>78154660824.3004</v>
      </c>
      <c r="F6" s="18">
        <f>E6*(1+F5)</f>
        <v>81060591718.61603</v>
      </c>
    </row>
    <row r="7" spans="1:6" x14ac:dyDescent="0.25">
      <c r="A7" t="s">
        <v>5</v>
      </c>
      <c r="B7" s="10">
        <f>Assumptions!B7</f>
        <v>0.1580519251743411</v>
      </c>
      <c r="C7" s="10">
        <f>Assumptions!B7</f>
        <v>0.1580519251743411</v>
      </c>
      <c r="D7" s="10">
        <f>Assumptions!B7</f>
        <v>0.1580519251743411</v>
      </c>
      <c r="E7" s="10">
        <f>Assumptions!B7</f>
        <v>0.1580519251743411</v>
      </c>
      <c r="F7" s="10">
        <f>Assumptions!B7</f>
        <v>0.1580519251743411</v>
      </c>
    </row>
    <row r="8" spans="1:6" x14ac:dyDescent="0.25">
      <c r="A8" t="s">
        <v>44</v>
      </c>
      <c r="B8" s="18">
        <f>B6*B7</f>
        <v>11071080585.43818</v>
      </c>
      <c r="C8" s="18">
        <f>C6*C7</f>
        <v>11482723279.135084</v>
      </c>
      <c r="D8" s="18">
        <f>D6*D7</f>
        <v>11909671588.753248</v>
      </c>
      <c r="E8" s="18">
        <f>E6*E7</f>
        <v>12352494604.628336</v>
      </c>
      <c r="F8" s="18">
        <f>F6*F7</f>
        <v>12811782576.898516</v>
      </c>
    </row>
    <row r="9" spans="1:6" x14ac:dyDescent="0.25">
      <c r="A9" t="s">
        <v>45</v>
      </c>
      <c r="B9" s="18">
        <f>B8*(1-Assumptions!B8)</f>
        <v>9572853799.652761</v>
      </c>
      <c r="C9" s="18">
        <f>C8*(1-Assumptions!B8)</f>
        <v>9928789726.055353</v>
      </c>
      <c r="D9" s="18">
        <f>D8*(1-Assumptions!B8)</f>
        <v>10297959990.551428</v>
      </c>
      <c r="E9" s="18">
        <f>E8*(1-Assumptions!B8)</f>
        <v>10680856669.640657</v>
      </c>
      <c r="F9" s="18">
        <f>F8*(1-Assumptions!B8)</f>
        <v>11077990136.11225</v>
      </c>
    </row>
    <row r="10" spans="1:6" x14ac:dyDescent="0.25">
      <c r="A10" t="s">
        <v>46</v>
      </c>
      <c r="B10" s="18">
        <f>B6*Assumptions!B9</f>
        <v>5237995665.127208</v>
      </c>
      <c r="C10" s="18">
        <f>C6*Assumptions!B9</f>
        <v>5432753767.421369</v>
      </c>
      <c r="D10" s="18">
        <f>D6*Assumptions!B9</f>
        <v>5634753326.3401985</v>
      </c>
      <c r="E10" s="18">
        <f>E6*Assumptions!B9</f>
        <v>5844263592.268811</v>
      </c>
      <c r="F10" s="18">
        <f>F6*Assumptions!B9</f>
        <v>6061563826.80604</v>
      </c>
    </row>
    <row r="11" spans="1:6" x14ac:dyDescent="0.25">
      <c r="A11" t="s">
        <v>47</v>
      </c>
      <c r="B11" s="18">
        <f>-B6*Assumptions!B10</f>
        <v>-2003771726.441809</v>
      </c>
      <c r="C11" s="18">
        <f>-C6*Assumptions!B10</f>
        <v>-2078275564.1350427</v>
      </c>
      <c r="D11" s="18">
        <f>-D6*Assumptions!B10</f>
        <v>-2155549588.5505323</v>
      </c>
      <c r="E11" s="18">
        <f>-E6*Assumptions!B10</f>
        <v>-2235696800.21434</v>
      </c>
      <c r="F11" s="18">
        <f>-F6*Assumptions!B10</f>
        <v>-2318824029.397394</v>
      </c>
    </row>
    <row r="12" spans="1:6" x14ac:dyDescent="0.25">
      <c r="A12" t="s">
        <v>48</v>
      </c>
      <c r="B12" s="18">
        <f>-(B6-Assumptions!B29)*Assumptions!B11</f>
        <v>2511109981.267807</v>
      </c>
      <c r="C12" s="18">
        <f>-(C6-B6)*Assumptions!B11</f>
        <v>2604477568.007065</v>
      </c>
      <c r="D12" s="18">
        <f>-(D6-C6)*Assumptions!B11</f>
        <v>2701316729.5951233</v>
      </c>
      <c r="E12" s="18">
        <f>-(E6-D6)*Assumptions!B11</f>
        <v>2801756545.4304047</v>
      </c>
      <c r="F12" s="18">
        <f>-(F6-E6)*Assumptions!B11</f>
        <v>2905930894.315628</v>
      </c>
    </row>
    <row r="13" spans="1:6" x14ac:dyDescent="0.25">
      <c r="A13" s="19" t="s">
        <v>49</v>
      </c>
      <c r="B13" s="20">
        <f>B9+B10+B11+B12</f>
        <v>15318187719.605967</v>
      </c>
      <c r="C13" s="20">
        <f>C9+C10+C11+C12</f>
        <v>15887745497.348745</v>
      </c>
      <c r="D13" s="20">
        <f>D9+D10+D11+D12</f>
        <v>16478480457.936218</v>
      </c>
      <c r="E13" s="20">
        <f>E9+E10+E11+E12</f>
        <v>17091180007.125534</v>
      </c>
      <c r="F13" s="20">
        <f>F9+F10+F11+F12</f>
        <v>17726660827.836525</v>
      </c>
    </row>
    <row r="14" spans="1:6" x14ac:dyDescent="0.25">
      <c r="A14" t="s">
        <v>50</v>
      </c>
      <c r="B14" s="21">
        <f>1/(1+Assumptions!$B$26)^(1-0.5*Assumptions!$B$32)</f>
        <v>0.9611440304862732</v>
      </c>
      <c r="C14" s="21">
        <f>1/(1+Assumptions!$B$26)^(2-0.5*Assumptions!$B$32)</f>
        <v>0.8879027863463319</v>
      </c>
      <c r="D14" s="21">
        <f>1/(1+Assumptions!$B$26)^(3-0.5*Assumptions!$B$32)</f>
        <v>0.8202426826733947</v>
      </c>
      <c r="E14" s="21">
        <f>1/(1+Assumptions!$B$26)^(4-0.5*Assumptions!$B$32)</f>
        <v>0.757738424549575</v>
      </c>
      <c r="F14" s="21">
        <f>1/(1+Assumptions!$B$26)^(5-0.5*Assumptions!$B$32)</f>
        <v>0.6999971254452441</v>
      </c>
    </row>
    <row r="15" spans="1:6" x14ac:dyDescent="0.25">
      <c r="A15" s="19" t="s">
        <v>51</v>
      </c>
      <c r="B15" s="20">
        <f>B13*B14</f>
        <v>14722984684.567413</v>
      </c>
      <c r="C15" s="20">
        <f>C13*C14</f>
        <v>14106773495.85734</v>
      </c>
      <c r="D15" s="20">
        <f>D13*D14</f>
        <v>13516353017.198713</v>
      </c>
      <c r="E15" s="20">
        <f>E13*E14</f>
        <v>12950643812.292496</v>
      </c>
      <c r="F15" s="20">
        <f>F13*F14</f>
        <v>12408611623.228378</v>
      </c>
    </row>
    <row r="17" spans="1:2" x14ac:dyDescent="0.25">
      <c r="A17" s="22" t="s">
        <v>52</v>
      </c>
      <c r="B17" s="23">
        <f>SUM(B15:F15)</f>
        <v>67705366633.14434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17726660827.836525</v>
      </c>
    </row>
    <row r="5" spans="1:2" x14ac:dyDescent="0.25">
      <c r="A5" t="s">
        <v>56</v>
      </c>
      <c r="B5" s="18">
        <f>IF(Assumptions!$B$33=0,B4,B4-Forecast!F11-Forecast!F10-Forecast!F12)</f>
        <v>13827076198.825827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0.23986480301150515</v>
      </c>
    </row>
    <row r="7" spans="1:2" x14ac:dyDescent="0.25">
      <c r="A7" t="s">
        <v>58</v>
      </c>
      <c r="B7" s="18">
        <f>-MAX(Forecast!F9,0)*B6</f>
        <v>-3316628908.6564283</v>
      </c>
    </row>
    <row r="8" spans="1:2" x14ac:dyDescent="0.25">
      <c r="A8" t="s">
        <v>59</v>
      </c>
      <c r="B8" s="18">
        <f>IF(OR(Assumptions!$B$33=0,Assumptions!B12&lt;=0),B5,MAX(B5+B7,0))</f>
        <v>10510447290.1694</v>
      </c>
    </row>
    <row r="9" spans="1:2" x14ac:dyDescent="0.25">
      <c r="A9" t="s">
        <v>60</v>
      </c>
      <c r="B9" s="18">
        <f>B8*(1+Assumptions!B12)/(Assumptions!B26-Assumptions!B12)</f>
        <v>187399553769.633</v>
      </c>
    </row>
    <row r="10" spans="1:2" x14ac:dyDescent="0.25">
      <c r="A10" t="s">
        <v>61</v>
      </c>
      <c r="B10" s="18">
        <f>B9/(1+Assumptions!B26)^(5-0.5*Assumptions!B32)</f>
        <v>131179148948.46455</v>
      </c>
    </row>
    <row r="11" spans="1:2" x14ac:dyDescent="0.25">
      <c r="A11" t="s">
        <v>62</v>
      </c>
      <c r="B11" s="18">
        <f>Forecast!B17+B10</f>
        <v>198884515581.6089</v>
      </c>
    </row>
    <row r="12" spans="1:2" x14ac:dyDescent="0.25">
      <c r="A12" t="s">
        <v>63</v>
      </c>
      <c r="B12" s="18">
        <f>-Assumptions!B30</f>
        <v>-50190000000</v>
      </c>
    </row>
    <row r="13" spans="1:2" x14ac:dyDescent="0.25">
      <c r="A13" t="s">
        <v>64</v>
      </c>
      <c r="B13" s="18">
        <f>B11+B12</f>
        <v>148694515581.6089</v>
      </c>
    </row>
    <row r="14" spans="1:2" x14ac:dyDescent="0.25">
      <c r="A14" s="19" t="s">
        <v>65</v>
      </c>
      <c r="B14" s="24">
        <f>B13/Assumptions!B31</f>
        <v>156.73911491827093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18873346403.704556</v>
      </c>
    </row>
    <row r="18" spans="1:2" x14ac:dyDescent="0.25">
      <c r="A18" t="s">
        <v>60</v>
      </c>
      <c r="B18" s="18">
        <f>B17*Assumptions!B13</f>
        <v>287154359204.7557</v>
      </c>
    </row>
    <row r="19" spans="1:2" x14ac:dyDescent="0.25">
      <c r="A19" t="s">
        <v>61</v>
      </c>
      <c r="B19" s="18">
        <f>B18/(1+Assumptions!B26)^(5-0.5*Assumptions!B32)</f>
        <v>201007226002.40002</v>
      </c>
    </row>
    <row r="20" spans="1:2" x14ac:dyDescent="0.25">
      <c r="A20" t="s">
        <v>62</v>
      </c>
      <c r="B20" s="18">
        <f>Forecast!B17+B19</f>
        <v>268712592635.54437</v>
      </c>
    </row>
    <row r="21" spans="1:2" x14ac:dyDescent="0.25">
      <c r="A21" t="s">
        <v>63</v>
      </c>
      <c r="B21" s="18">
        <f>-Assumptions!B30</f>
        <v>-50190000000</v>
      </c>
    </row>
    <row r="22" spans="1:2" x14ac:dyDescent="0.25">
      <c r="A22" t="s">
        <v>64</v>
      </c>
      <c r="B22" s="18">
        <f>B20+B21</f>
        <v>218522592635.54437</v>
      </c>
    </row>
    <row r="23" spans="1:2" x14ac:dyDescent="0.25">
      <c r="A23" s="19" t="s">
        <v>65</v>
      </c>
      <c r="B23" s="25">
        <f>B22/Assumptions!B31</f>
        <v>230.34499709266612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229.55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156.73911491827093</v>
      </c>
    </row>
    <row r="29" spans="1:2" x14ac:dyDescent="0.25">
      <c r="A29" s="19" t="s">
        <v>73</v>
      </c>
      <c r="B29" s="12">
        <f>B28/B26-1</f>
        <v>-0.31718965402626476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0.062488</v>
      </c>
      <c r="B5" s="31">
        <v>224.80197440721082</v>
      </c>
      <c r="C5" s="31">
        <v>237.03330733112992</v>
      </c>
      <c r="D5" s="31">
        <v>252.3853827381981</v>
      </c>
      <c r="E5" s="31">
        <v>272.29907532821977</v>
      </c>
      <c r="F5" s="31">
        <v>299.26362614253276</v>
      </c>
    </row>
    <row r="6" spans="1:6" x14ac:dyDescent="0.25">
      <c r="A6" s="30">
        <v>0.072488</v>
      </c>
      <c r="B6" s="31">
        <v>180.87346823746734</v>
      </c>
      <c r="C6" s="31">
        <v>187.14043618504078</v>
      </c>
      <c r="D6" s="31">
        <v>194.61963608110867</v>
      </c>
      <c r="E6" s="31">
        <v>203.7390353335843</v>
      </c>
      <c r="F6" s="31">
        <v>215.15492369775225</v>
      </c>
    </row>
    <row r="7" spans="1:6" x14ac:dyDescent="0.25">
      <c r="A7" s="30">
        <v>0.082488</v>
      </c>
      <c r="B7" s="31">
        <v>149.8230056557023</v>
      </c>
      <c r="C7" s="31">
        <v>153.04339447219107</v>
      </c>
      <c r="D7" s="32">
        <v>156.738828882781</v>
      </c>
      <c r="E7" s="31">
        <v>161.0450672305508</v>
      </c>
      <c r="F7" s="31">
        <v>166.15504371061704</v>
      </c>
    </row>
    <row r="8" spans="1:6" x14ac:dyDescent="0.25">
      <c r="A8" s="30">
        <v>0.092488</v>
      </c>
      <c r="B8" s="31">
        <v>126.67185343232929</v>
      </c>
      <c r="C8" s="31">
        <v>128.21352609924872</v>
      </c>
      <c r="D8" s="31">
        <v>129.91405159537328</v>
      </c>
      <c r="E8" s="31">
        <v>131.81156192105618</v>
      </c>
      <c r="F8" s="31">
        <v>133.95745514969326</v>
      </c>
    </row>
    <row r="9" spans="1:6" x14ac:dyDescent="0.25">
      <c r="A9" s="30">
        <v>0.102488</v>
      </c>
      <c r="B9" s="31">
        <v>108.71715971446066</v>
      </c>
      <c r="C9" s="31">
        <v>109.28753494017037</v>
      </c>
      <c r="D9" s="31">
        <v>109.87334925305086</v>
      </c>
      <c r="E9" s="31">
        <v>110.47779747579779</v>
      </c>
      <c r="F9" s="31">
        <v>111.10502121355569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67536000000</v>
      </c>
      <c r="C5" s="18">
        <v>62753000000</v>
      </c>
      <c r="D5" s="18">
        <v>61860000000</v>
      </c>
      <c r="E5" s="18">
        <v>60530000000</v>
      </c>
      <c r="F5" s="8" t="s">
        <v>84</v>
      </c>
    </row>
    <row r="6" spans="1:6" x14ac:dyDescent="0.25">
      <c r="A6" t="s">
        <v>44</v>
      </c>
      <c r="B6" s="18">
        <v>12492000000</v>
      </c>
      <c r="C6" s="18">
        <v>10074000000</v>
      </c>
      <c r="D6" s="18">
        <v>9382000000</v>
      </c>
      <c r="E6" s="18">
        <v>8174000000</v>
      </c>
      <c r="F6" s="8" t="s">
        <v>85</v>
      </c>
    </row>
    <row r="7" spans="1:6" x14ac:dyDescent="0.25">
      <c r="A7" t="s">
        <v>86</v>
      </c>
      <c r="B7" s="18">
        <v>5021000000</v>
      </c>
      <c r="C7" s="18">
        <v>4667000000</v>
      </c>
      <c r="D7" s="18">
        <v>4396000000</v>
      </c>
      <c r="E7" s="18">
        <v>4802000000</v>
      </c>
      <c r="F7" s="8" t="s">
        <v>87</v>
      </c>
    </row>
    <row r="8" spans="1:6" x14ac:dyDescent="0.25">
      <c r="A8" t="s">
        <v>88</v>
      </c>
      <c r="B8" s="18">
        <v>1738000000</v>
      </c>
      <c r="C8" s="18">
        <v>1685000000</v>
      </c>
      <c r="D8" s="18">
        <v>1810000000</v>
      </c>
      <c r="E8" s="18">
        <v>1972000000</v>
      </c>
      <c r="F8" s="8" t="s">
        <v>89</v>
      </c>
    </row>
    <row r="9" spans="1:6" x14ac:dyDescent="0.25">
      <c r="A9" t="s">
        <v>90</v>
      </c>
      <c r="B9" s="18">
        <v>3139000000</v>
      </c>
      <c r="C9" s="18">
        <v>-1313000000</v>
      </c>
      <c r="D9" s="18">
        <v>-2184000000</v>
      </c>
      <c r="E9" s="18">
        <v>-202000000</v>
      </c>
      <c r="F9" s="8" t="s">
        <v>91</v>
      </c>
    </row>
    <row r="10" spans="1:6" x14ac:dyDescent="0.25">
      <c r="A10" t="s">
        <v>92</v>
      </c>
      <c r="B10" s="18">
        <v>64607000000</v>
      </c>
      <c r="C10" s="18">
        <v>58396000000</v>
      </c>
      <c r="D10" s="18">
        <v>59935000000</v>
      </c>
      <c r="E10" s="18">
        <v>54013000000</v>
      </c>
      <c r="F10" s="8" t="s">
        <v>93</v>
      </c>
    </row>
    <row r="11" spans="1:6" x14ac:dyDescent="0.25">
      <c r="A11" t="s">
        <v>94</v>
      </c>
      <c r="B11" s="18">
        <v>14417000000</v>
      </c>
      <c r="C11" s="18">
        <v>14591000000</v>
      </c>
      <c r="D11" s="18">
        <v>13441000000</v>
      </c>
      <c r="E11" s="18">
        <v>8738000000</v>
      </c>
      <c r="F11" s="8" t="s">
        <v>95</v>
      </c>
    </row>
    <row r="12" spans="1:6" x14ac:dyDescent="0.25">
      <c r="A12" t="s">
        <v>32</v>
      </c>
      <c r="B12" s="34">
        <v>948675228</v>
      </c>
      <c r="C12" s="34">
        <v>937161224</v>
      </c>
      <c r="D12" s="34">
        <v>922100000</v>
      </c>
      <c r="E12" s="34">
        <v>912269062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