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<sst xmlns="http://schemas.openxmlformats.org/spreadsheetml/2006/main" count="119" uniqueCount="106">
  <si>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International Business Machines Corporation (IBM)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</si>
  <si>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</si>
  <si>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</si>
  <si>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</si>
  <si>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</si>
  <si>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</si>
  <si>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</si>
  <si>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</si>
  <si>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</si>
  <si>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</si>
  <si>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</si>
  <si>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</si>
  <si>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</si>
  <si>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</si>
  <si>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</si>
  <si>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</si>
  <si>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</si>
  <si>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</si>
  <si>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</si>
  <si>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</si>
  <si>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</si>
  <si>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</si>
  <si>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</si>
  <si>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</si>
  <si>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+ 70bp, the spread for a A+ rating at 6.5x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</si>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</sst>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0.044877923033641354</v>
      </c>
    </row>
    <row r="7" spans="1:2" x14ac:dyDescent="0.25">
      <c r="A7" t="s">
        <v>4</v>
      </c>
      <c r="B7" s="5">
        <v>0.1580519251743411</v>
      </c>
    </row>
    <row r="8" spans="1:2" x14ac:dyDescent="0.25">
      <c r="A8" t="s">
        <v>5</v>
      </c>
      <c r="B8" s="5">
        <v>0.13532796317606444</v>
      </c>
    </row>
    <row r="9" spans="1:2" x14ac:dyDescent="0.25">
      <c r="A9" t="s">
        <v>6</v>
      </c>
      <c r="B9" s="5">
        <v>0.07477818380412793</v>
      </c>
    </row>
    <row r="10" spans="1:3" x14ac:dyDescent="0.25">
      <c r="A10" t="s">
        <v>7</v>
      </c>
      <c r="B10" s="5">
        <v>0.02860605850801929</v>
      </c>
      <c r="C10" s="6" t="s">
        <v>8</v>
      </c>
    </row>
    <row r="11" spans="1:2" x14ac:dyDescent="0.25">
      <c r="A11" t="s">
        <v>9</v>
      </c>
      <c r="B11" s="5">
        <v>0.06726663035314723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16.779055719522642</v>
      </c>
    </row>
    <row r="14" spans="1:3" x14ac:dyDescent="0.25">
      <c r="A14" t="s">
        <v>12</v>
      </c>
      <c r="B14" s="5">
        <v>0.10422537898901688</v>
      </c>
      <c r="C14" s="6" t="s">
        <v>13</v>
      </c>
    </row>
    <row r="15" spans="1:3" x14ac:dyDescent="0.25">
      <c r="A15" t="s">
        <v>14</v>
      </c>
      <c r="B15" s="5">
        <v>0.035556417098862134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0.81508</v>
      </c>
      <c r="C19" s="6" t="s">
        <v>21</v>
      </c>
    </row>
    <row r="20" spans="1:2" x14ac:dyDescent="0.25">
      <c r="A20" t="s">
        <v>22</v>
      </c>
      <c r="B20" s="9">
        <f>B17+B19*B18</f>
        <v>0.083417884</v>
      </c>
    </row>
    <row r="21" spans="1:3" x14ac:dyDescent="0.25">
      <c r="A21" t="s">
        <v>23</v>
      </c>
      <c r="B21" s="5">
        <v>0.055940000000000004</v>
      </c>
      <c r="C21" s="6" t="s">
        <v>24</v>
      </c>
    </row>
    <row r="22" spans="1:2" x14ac:dyDescent="0.25">
      <c r="A22" t="s">
        <v>25</v>
      </c>
      <c r="B22" s="10">
        <v>243661602816</v>
      </c>
    </row>
    <row r="23" spans="1:2" x14ac:dyDescent="0.25">
      <c r="A23" t="s">
        <v>26</v>
      </c>
      <c r="B23" s="10">
        <v>64607000000</v>
      </c>
    </row>
    <row r="24" spans="1:2" x14ac:dyDescent="0.25">
      <c r="A24" t="s">
        <v>27</v>
      </c>
      <c r="B24" s="9">
        <f>B22/(B22+B23)</f>
        <v>0.7904197851814225</v>
      </c>
    </row>
    <row r="25" spans="1:2" x14ac:dyDescent="0.25">
      <c r="A25" t="s">
        <v>28</v>
      </c>
      <c r="B25" s="9">
        <f>1-B24</f>
        <v>0.20958021481857747</v>
      </c>
    </row>
    <row r="26" spans="1:2" x14ac:dyDescent="0.25">
      <c r="A26" t="s">
        <v>29</v>
      </c>
      <c r="B26" s="11">
        <f>B24*B20+B25*B21*(1-B8)</f>
        <v>0.07607248933110525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67536000000</v>
      </c>
      <c r="C29" s="6" t="s">
        <v>32</v>
      </c>
    </row>
    <row r="30" spans="1:2" x14ac:dyDescent="0.25">
      <c r="A30" t="s">
        <v>33</v>
      </c>
      <c r="B30" s="10">
        <v>50190000000</v>
      </c>
    </row>
    <row r="31" spans="1:2" x14ac:dyDescent="0.25">
      <c r="A31" t="s">
        <v>34</v>
      </c>
      <c r="B31" s="12">
        <v>948700000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0.044877923033641354</v>
      </c>
      <c r="C5" s="5">
        <v>0.037858580169207956</v>
      </c>
      <c r="D5" s="5">
        <v>0.036251257648056964</v>
      </c>
      <c r="E5" s="5">
        <v>0.034643935126905966</v>
      </c>
      <c r="F5" s="5">
        <v>0.033036612605754974</v>
      </c>
      <c r="G5" s="5">
        <v>0.031429290084603975</v>
      </c>
      <c r="H5" s="5">
        <v>0.029821967563452983</v>
      </c>
      <c r="I5" s="5">
        <v>0.028214645042301992</v>
      </c>
      <c r="J5" s="5">
        <v>0.026607322521150997</v>
      </c>
      <c r="K5" s="5">
        <v>0.025</v>
      </c>
    </row>
    <row r="6" spans="1:11" x14ac:dyDescent="0.25">
      <c r="A6" t="s">
        <v>50</v>
      </c>
      <c r="B6" s="18">
        <f>Assumptions!B29*(1+B5)</f>
        <v>70566875410</v>
      </c>
      <c r="C6" s="18">
        <f>B6*(1+C5)</f>
        <v>73238437120</v>
      </c>
      <c r="D6" s="18">
        <f>C6*(1+D5)</f>
        <v>75893422573.77814</v>
      </c>
      <c r="E6" s="18">
        <f>D6*(1+E5)</f>
        <v>78522669381.98296</v>
      </c>
      <c r="F6" s="18">
        <f>E6*(1+F5)</f>
        <v>81116792391.1253</v>
      </c>
      <c r="G6" s="18">
        <f>F6*(1+G5)</f>
        <v>83666235589.91858</v>
      </c>
      <c r="H6" s="18">
        <f>G6*(1+H5)</f>
        <v>86161327353.83734</v>
      </c>
      <c r="I6" s="18">
        <f>H6*(1+I5)</f>
        <v>88592338621.49945</v>
      </c>
      <c r="J6" s="18">
        <f>I6*(1+J5)</f>
        <v>90949543548.1047</v>
      </c>
      <c r="K6" s="18">
        <f>J6*(1+K5)</f>
        <v>93223282136.80731</v>
      </c>
    </row>
    <row r="7" spans="1:11" x14ac:dyDescent="0.25">
      <c r="A7" t="s">
        <v>4</v>
      </c>
      <c r="B7" s="9">
        <f>Assumptions!B7</f>
        <v>0.1580519251743411</v>
      </c>
      <c r="C7" s="9">
        <f>Assumptions!B7</f>
        <v>0.1580519251743411</v>
      </c>
      <c r="D7" s="9">
        <f>Assumptions!B7</f>
        <v>0.1580519251743411</v>
      </c>
      <c r="E7" s="9">
        <f>Assumptions!B7</f>
        <v>0.1580519251743411</v>
      </c>
      <c r="F7" s="9">
        <f>Assumptions!B7</f>
        <v>0.1580519251743411</v>
      </c>
      <c r="G7" s="9">
        <f>Assumptions!B7</f>
        <v>0.1580519251743411</v>
      </c>
      <c r="H7" s="9">
        <f>Assumptions!B7</f>
        <v>0.1580519251743411</v>
      </c>
      <c r="I7" s="9">
        <f>Assumptions!B7</f>
        <v>0.1580519251743411</v>
      </c>
      <c r="J7" s="9">
        <f>Assumptions!B7</f>
        <v>0.1580519251743411</v>
      </c>
      <c r="K7" s="9">
        <f>Assumptions!B7</f>
        <v>0.1580519251743411</v>
      </c>
    </row>
    <row r="8" spans="1:11" x14ac:dyDescent="0.25">
      <c r="A8" t="s">
        <v>51</v>
      </c>
      <c r="B8" s="18">
        <f>B6*B7</f>
        <v>11153230512.088371</v>
      </c>
      <c r="C8" s="18">
        <f>C6*C7</f>
        <v>11575475983.575926</v>
      </c>
      <c r="D8" s="18">
        <f>D6*D7</f>
        <v>11995101545.855433</v>
      </c>
      <c r="E8" s="18">
        <f>E6*E7</f>
        <v>12410659065.650696</v>
      </c>
      <c r="F8" s="18">
        <f>F6*F7</f>
        <v>12820665201.384699</v>
      </c>
      <c r="G8" s="18">
        <f>G6*G7</f>
        <v>13223609607.076607</v>
      </c>
      <c r="H8" s="18">
        <f>H6*H7</f>
        <v>13617963663.850609</v>
      </c>
      <c r="I8" s="18">
        <f>I6*I7</f>
        <v>14002189674.82512</v>
      </c>
      <c r="J8" s="18">
        <f>J6*J7</f>
        <v>14374750451.505524</v>
      </c>
      <c r="K8" s="18">
        <f>K6*K7</f>
        <v>14734119212.79316</v>
      </c>
    </row>
    <row r="9" spans="1:11" x14ac:dyDescent="0.25">
      <c r="A9" t="s">
        <v>52</v>
      </c>
      <c r="B9" s="18">
        <f>B8*(1-Assumptions!B8)</f>
        <v>9643886544.054317</v>
      </c>
      <c r="C9" s="18">
        <f>C8*(1-Assumptions!B8)</f>
        <v>10008990395.925144</v>
      </c>
      <c r="D9" s="18">
        <f>D8*(1-Assumptions!B8)</f>
        <v>10371828885.564754</v>
      </c>
      <c r="E9" s="18">
        <f>E8*(1-Assumptions!B8)</f>
        <v>10731149852.623629</v>
      </c>
      <c r="F9" s="18">
        <f>F8*(1-Assumptions!B8)</f>
        <v>11085670693.11906</v>
      </c>
      <c r="G9" s="18">
        <f>G8*(1-Assumptions!B8)</f>
        <v>11434085453.115492</v>
      </c>
      <c r="H9" s="18">
        <f>H8*(1-Assumptions!B8)</f>
        <v>11775072378.61605</v>
      </c>
      <c r="I9" s="18">
        <f>I8*(1-Assumptions!B8)</f>
        <v>12107301866.126118</v>
      </c>
      <c r="J9" s="18">
        <f>J8*(1-Assumptions!B8)</f>
        <v>12429444751.739069</v>
      </c>
      <c r="K9" s="18">
        <f>K8*(1-Assumptions!B8)</f>
        <v>12740180870.532543</v>
      </c>
    </row>
    <row r="10" spans="1:11" x14ac:dyDescent="0.25">
      <c r="A10" t="s">
        <v>53</v>
      </c>
      <c r="B10" s="18">
        <f>B6*Assumptions!B9</f>
        <v>5276862779.891975</v>
      </c>
      <c r="C10" s="18">
        <f>C6*Assumptions!B9</f>
        <v>5476637312.486425</v>
      </c>
      <c r="D10" s="18">
        <f>D6*Assumptions!B9</f>
        <v>5675172302.746333</v>
      </c>
      <c r="E10" s="18">
        <f>E6*Assumptions!B9</f>
        <v>5871782603.83669</v>
      </c>
      <c r="F10" s="18">
        <f>F6*Assumptions!B9</f>
        <v>6065766411.024854</v>
      </c>
      <c r="G10" s="18">
        <f>G6*Assumptions!B9</f>
        <v>6256409143.142401</v>
      </c>
      <c r="H10" s="18">
        <f>H6*Assumptions!B9</f>
        <v>6442987573.672884</v>
      </c>
      <c r="I10" s="18">
        <f>I6*Assumptions!B9</f>
        <v>6624774181.076028</v>
      </c>
      <c r="J10" s="18">
        <f>J6*Assumptions!B9</f>
        <v>6801041684.341711</v>
      </c>
      <c r="K10" s="18">
        <f>K6*Assumptions!B9</f>
        <v>6971067726.4502535</v>
      </c>
    </row>
    <row r="11" spans="1:11" x14ac:dyDescent="0.25">
      <c r="A11" t="s">
        <v>54</v>
      </c>
      <c r="B11" s="18">
        <f>-B6*B19</f>
        <v>-2018640166.7065678</v>
      </c>
      <c r="C11" s="18">
        <f>-C6*C19</f>
        <v>-2484575850.16832</v>
      </c>
      <c r="D11" s="18">
        <f>-D6*D19</f>
        <v>-2978278012.3984947</v>
      </c>
      <c r="E11" s="18">
        <f>-E6*E19</f>
        <v>-3499073886.7014475</v>
      </c>
      <c r="F11" s="18">
        <f>-F6*F19</f>
        <v>-4046084677.192628</v>
      </c>
      <c r="G11" s="18">
        <f>-G6*G19</f>
        <v>-4618222500.165998</v>
      </c>
      <c r="H11" s="18">
        <f>-H6*H19</f>
        <v>-5214189183.837613</v>
      </c>
      <c r="I11" s="18">
        <f>-I6*I19</f>
        <v>-5832477023.988691</v>
      </c>
      <c r="J11" s="18">
        <f>-J6*J19</f>
        <v>-6471371572.298651</v>
      </c>
      <c r="K11" s="18">
        <f>-K6*K19</f>
        <v>-7128956511.417494</v>
      </c>
    </row>
    <row r="12" spans="1:11" x14ac:dyDescent="0.25">
      <c r="A12" t="s">
        <v>55</v>
      </c>
      <c r="B12" s="18">
        <f>-(B6-Assumptions!B29)*Assumptions!B11</f>
        <v>-203876775.85091355</v>
      </c>
      <c r="C12" s="18">
        <f>-(C6-B6)*Assumptions!B11</f>
        <v>-179706954.01219192</v>
      </c>
      <c r="D12" s="18">
        <f>-(D6-C6)*Assumptions!B11</f>
        <v>-178591925.11227682</v>
      </c>
      <c r="E12" s="18">
        <f>-(E6-D6)*Assumptions!B11</f>
        <v>-176860573.15470573</v>
      </c>
      <c r="F12" s="18">
        <f>-(F6-E6)*Assumptions!B11</f>
        <v>-174497913.5465724</v>
      </c>
      <c r="G12" s="18">
        <f>-(G6-F6)*Assumptions!B11</f>
        <v>-171492453.2595724</v>
      </c>
      <c r="H12" s="18">
        <f>-(H6-G6)*Assumptions!B11</f>
        <v>-167836415.38070548</v>
      </c>
      <c r="I12" s="18">
        <f>-(I6-H6)*Assumptions!B11</f>
        <v>-163525936.32616296</v>
      </c>
      <c r="J12" s="18">
        <f>-(J6-I6)*Assumptions!B11</f>
        <v>-158561232.46457323</v>
      </c>
      <c r="K12" s="18">
        <f>-(K6-J6)*Assumptions!B11</f>
        <v>-152946733.16594487</v>
      </c>
    </row>
    <row r="13" spans="1:11" x14ac:dyDescent="0.25">
      <c r="A13" s="19" t="s">
        <v>56</v>
      </c>
      <c r="B13" s="20">
        <f>B9+B10+B11+B12</f>
        <v>12698232381.388811</v>
      </c>
      <c r="C13" s="20">
        <f>C9+C10+C11+C12</f>
        <v>12821344904.231058</v>
      </c>
      <c r="D13" s="20">
        <f>D9+D10+D11+D12</f>
        <v>12890131250.800318</v>
      </c>
      <c r="E13" s="20">
        <f>E9+E10+E11+E12</f>
        <v>12926997996.604168</v>
      </c>
      <c r="F13" s="20">
        <f>F9+F10+F11+F12</f>
        <v>12930854513.404715</v>
      </c>
      <c r="G13" s="20">
        <f>G9+G10+G11+G12</f>
        <v>12900779642.832321</v>
      </c>
      <c r="H13" s="20">
        <f>H9+H10+H11+H12</f>
        <v>12836034353.070616</v>
      </c>
      <c r="I13" s="20">
        <f>I9+I10+I11+I12</f>
        <v>12736073086.887291</v>
      </c>
      <c r="J13" s="20">
        <f>J9+J10+J11+J12</f>
        <v>12600553631.317556</v>
      </c>
      <c r="K13" s="20">
        <f>K9+K10+K11+K12</f>
        <v>12429345352.399357</v>
      </c>
    </row>
    <row r="14" spans="1:11" x14ac:dyDescent="0.25">
      <c r="A14" t="s">
        <v>57</v>
      </c>
      <c r="B14" s="21">
        <f>1/(1+Assumptions!$B$26)^(1-0.5*Assumptions!$B$32)</f>
        <v>0.9640048874952677</v>
      </c>
      <c r="C14" s="21">
        <f>1/(1+Assumptions!$B$26)^(2-0.5*Assumptions!$B$32)</f>
        <v>0.8958549698584901</v>
      </c>
      <c r="D14" s="21">
        <f>1/(1+Assumptions!$B$26)^(3-0.5*Assumptions!$B$32)</f>
        <v>0.8325228818138081</v>
      </c>
      <c r="E14" s="21">
        <f>1/(1+Assumptions!$B$26)^(4-0.5*Assumptions!$B$32)</f>
        <v>0.7736680289367034</v>
      </c>
      <c r="F14" s="21">
        <f>1/(1+Assumptions!$B$26)^(5-0.5*Assumptions!$B$32)</f>
        <v>0.7189738949813885</v>
      </c>
      <c r="G14" s="21">
        <f>1/(1+Assumptions!$B$26)^(6-0.5*Assumptions!$B$32)</f>
        <v>0.6681463396841489</v>
      </c>
      <c r="H14" s="21">
        <f>1/(1+Assumptions!$B$26)^(7-0.5*Assumptions!$B$32)</f>
        <v>0.6209120169027588</v>
      </c>
      <c r="I14" s="21">
        <f>1/(1+Assumptions!$B$26)^(8-0.5*Assumptions!$B$32)</f>
        <v>0.5770169045848597</v>
      </c>
      <c r="J14" s="21">
        <f>1/(1+Assumptions!$B$26)^(9-0.5*Assumptions!$B$32)</f>
        <v>0.5362249386596043</v>
      </c>
      <c r="K14" s="21">
        <f>1/(1+Assumptions!$B$26)^(10-0.5*Assumptions!$B$32)</f>
        <v>0.4983167435057518</v>
      </c>
    </row>
    <row r="15" spans="1:11" x14ac:dyDescent="0.25">
      <c r="A15" s="19" t="s">
        <v>58</v>
      </c>
      <c r="B15" s="20">
        <f>B13*B14</f>
        <v>12241158078.209486</v>
      </c>
      <c r="C15" s="20">
        <f>C13*C14</f>
        <v>11486065552.72522</v>
      </c>
      <c r="D15" s="20">
        <f>D13*D14</f>
        <v>10731329215.874506</v>
      </c>
      <c r="E15" s="20">
        <f>E13*E14</f>
        <v>10001205060.10146</v>
      </c>
      <c r="F15" s="20">
        <f>F13*F14</f>
        <v>9296946834.940254</v>
      </c>
      <c r="G15" s="20">
        <f>G13*G14</f>
        <v>8619608697.430197</v>
      </c>
      <c r="H15" s="20">
        <f>H13*H14</f>
        <v>7970047979.198174</v>
      </c>
      <c r="I15" s="20">
        <f>I13*I14</f>
        <v>7348929469.162243</v>
      </c>
      <c r="J15" s="20">
        <f>J13*J14</f>
        <v>6756731098.030311</v>
      </c>
      <c r="K15" s="20">
        <f>K13*K14</f>
        <v>6193750899.915998</v>
      </c>
    </row>
    <row r="17" spans="1:2" x14ac:dyDescent="0.25">
      <c r="A17" s="22" t="s">
        <v>59</v>
      </c>
      <c r="B17" s="23">
        <f>SUM(B15:K15)</f>
        <v>90645772885.58786</v>
      </c>
    </row>
    <row r="19" spans="1:11" x14ac:dyDescent="0.25">
      <c r="A19" t="s">
        <v>7</v>
      </c>
      <c r="B19" s="9">
        <f>Assumptions!$B$10+($B$20-Assumptions!$B$10)*0/9</f>
        <v>0.02860605850801929</v>
      </c>
      <c r="C19" s="9">
        <f>Assumptions!$B$10+($B$20-Assumptions!$B$10)*1/9</f>
        <v>0.03392447938365182</v>
      </c>
      <c r="D19" s="9">
        <f>Assumptions!$B$10+($B$20-Assumptions!$B$10)*2/9</f>
        <v>0.03924290025928435</v>
      </c>
      <c r="E19" s="9">
        <f>Assumptions!$B$10+($B$20-Assumptions!$B$10)*3/9</f>
        <v>0.04456132113491688</v>
      </c>
      <c r="F19" s="9">
        <f>Assumptions!$B$10+($B$20-Assumptions!$B$10)*4/9</f>
        <v>0.04987974201054941</v>
      </c>
      <c r="G19" s="9">
        <f>Assumptions!$B$10+($B$20-Assumptions!$B$10)*5/9</f>
        <v>0.05519816288618194</v>
      </c>
      <c r="H19" s="9">
        <f>Assumptions!$B$10+($B$20-Assumptions!$B$10)*6/9</f>
        <v>0.060516583761814464</v>
      </c>
      <c r="I19" s="9">
        <f>Assumptions!$B$10+($B$20-Assumptions!$B$10)*7/9</f>
        <v>0.065835004637447</v>
      </c>
      <c r="J19" s="9">
        <f>Assumptions!$B$10+($B$20-Assumptions!$B$10)*8/9</f>
        <v>0.07115342551307953</v>
      </c>
      <c r="K19" s="9">
        <f>Assumptions!$B$10+($B$20-Assumptions!$B$10)*9/9</f>
        <v>0.07647184638871206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0.07647184638871206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12429345352.399357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15901751989.237524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0.23986480301150515</v>
      </c>
    </row>
    <row r="7" spans="1:2" x14ac:dyDescent="0.25">
      <c r="A7" t="s">
        <v>66</v>
      </c>
      <c r="B7" s="18">
        <f>-MAX(B5,0)*B6</f>
        <v>-3814270608.436269</v>
      </c>
    </row>
    <row r="8" spans="1:2" x14ac:dyDescent="0.25">
      <c r="A8" t="s">
        <v>67</v>
      </c>
      <c r="B8" s="18">
        <f>IF(OR(Assumptions!$B$33=0,Assumptions!B12&lt;=0),B5,MAX(B5+B7,0))</f>
        <v>12087481380.801254</v>
      </c>
    </row>
    <row r="9" spans="1:2" x14ac:dyDescent="0.25">
      <c r="A9" t="s">
        <v>68</v>
      </c>
      <c r="B9" s="18">
        <f>B8*(1+Assumptions!B12)/(Assumptions!B26-Assumptions!B12)</f>
        <v>242589867413.71677</v>
      </c>
    </row>
    <row r="10" spans="1:2" x14ac:dyDescent="0.25">
      <c r="A10" t="s">
        <v>69</v>
      </c>
      <c r="B10" s="18">
        <f>B9/(1+Assumptions!B26)^(10-0.5*Assumptions!B32)</f>
        <v>120886592737.09543</v>
      </c>
    </row>
    <row r="11" spans="1:2" x14ac:dyDescent="0.25">
      <c r="A11" t="s">
        <v>70</v>
      </c>
      <c r="B11" s="18">
        <f>Forecast!B17+B10</f>
        <v>211532365622.6833</v>
      </c>
    </row>
    <row r="12" spans="1:2" x14ac:dyDescent="0.25">
      <c r="A12" t="s">
        <v>71</v>
      </c>
      <c r="B12" s="18">
        <f>-Assumptions!B30</f>
        <v>-50190000000</v>
      </c>
    </row>
    <row r="13" spans="1:2" x14ac:dyDescent="0.25">
      <c r="A13" t="s">
        <v>72</v>
      </c>
      <c r="B13" s="18">
        <f>B11+B12</f>
        <v>161342365622.6833</v>
      </c>
    </row>
    <row r="14" spans="1:2" x14ac:dyDescent="0.25">
      <c r="A14" s="19" t="s">
        <v>73</v>
      </c>
      <c r="B14" s="24">
        <f>B13/Assumptions!B31</f>
        <v>170.06679205511045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21705186939.243412</v>
      </c>
    </row>
    <row r="18" spans="1:2" x14ac:dyDescent="0.25">
      <c r="A18" t="s">
        <v>68</v>
      </c>
      <c r="B18" s="18">
        <f>B17*Assumptions!B13</f>
        <v>364192541056.22034</v>
      </c>
    </row>
    <row r="19" spans="1:2" x14ac:dyDescent="0.25">
      <c r="A19" t="s">
        <v>69</v>
      </c>
      <c r="B19" s="18">
        <f>B18/(1+Assumptions!B26)^(10-0.5*Assumptions!B32)</f>
        <v>181483241068.22052</v>
      </c>
    </row>
    <row r="20" spans="1:2" x14ac:dyDescent="0.25">
      <c r="A20" t="s">
        <v>70</v>
      </c>
      <c r="B20" s="18">
        <f>Forecast!B17+B19</f>
        <v>272129013953.80838</v>
      </c>
    </row>
    <row r="21" spans="1:2" x14ac:dyDescent="0.25">
      <c r="A21" t="s">
        <v>71</v>
      </c>
      <c r="B21" s="18">
        <f>-Assumptions!B30</f>
        <v>-50190000000</v>
      </c>
    </row>
    <row r="22" spans="1:2" x14ac:dyDescent="0.25">
      <c r="A22" t="s">
        <v>72</v>
      </c>
      <c r="B22" s="18">
        <f>B20+B21</f>
        <v>221939013953.80838</v>
      </c>
    </row>
    <row r="23" spans="1:2" x14ac:dyDescent="0.25">
      <c r="A23" s="19" t="s">
        <v>73</v>
      </c>
      <c r="B23" s="25">
        <f>B22/Assumptions!B31</f>
        <v>233.94014330537408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257.81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170.06679205511045</v>
      </c>
    </row>
    <row r="29" spans="1:2" x14ac:dyDescent="0.25">
      <c r="A29" s="19" t="s">
        <v>81</v>
      </c>
      <c r="B29" s="11">
        <f>B28/B26-1</f>
        <v>-0.3403405916950062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0.056072</v>
      </c>
      <c r="B5" s="31">
        <v>267.3263388747335</v>
      </c>
      <c r="C5" s="31">
        <v>281.6642865202985</v>
      </c>
      <c r="D5" s="31">
        <v>301.2922758320743</v>
      </c>
      <c r="E5" s="31">
        <v>329.25382571897336</v>
      </c>
      <c r="F5" s="31">
        <v>371.48114046283143</v>
      </c>
    </row>
    <row r="6" spans="1:6" x14ac:dyDescent="0.25">
      <c r="A6" s="30">
        <v>0.066072</v>
      </c>
      <c r="B6" s="31">
        <v>206.80354399428447</v>
      </c>
      <c r="C6" s="31">
        <v>212.38967584770143</v>
      </c>
      <c r="D6" s="31">
        <v>219.81867582072482</v>
      </c>
      <c r="E6" s="31">
        <v>229.85687297174076</v>
      </c>
      <c r="F6" s="31">
        <v>243.7638565666438</v>
      </c>
    </row>
    <row r="7" spans="1:6" x14ac:dyDescent="0.25">
      <c r="A7" s="30">
        <v>0.076072</v>
      </c>
      <c r="B7" s="31">
        <v>166.0341239332782</v>
      </c>
      <c r="C7" s="31">
        <v>167.70438999338734</v>
      </c>
      <c r="D7" s="32">
        <v>170.068753992901</v>
      </c>
      <c r="E7" s="31">
        <v>173.35319850455465</v>
      </c>
      <c r="F7" s="31">
        <v>177.89374825765526</v>
      </c>
    </row>
    <row r="8" spans="1:6" x14ac:dyDescent="0.25">
      <c r="A8" s="30">
        <v>0.086072</v>
      </c>
      <c r="B8" s="31">
        <v>136.68496534293482</v>
      </c>
      <c r="C8" s="31">
        <v>136.45198316738131</v>
      </c>
      <c r="D8" s="31">
        <v>136.4712989241724</v>
      </c>
      <c r="E8" s="31">
        <v>136.81040563986622</v>
      </c>
      <c r="F8" s="31">
        <v>137.5632268808698</v>
      </c>
    </row>
    <row r="9" spans="1:6" x14ac:dyDescent="0.25">
      <c r="A9" s="30">
        <v>0.096072</v>
      </c>
      <c r="B9" s="31">
        <v>114.53398432158865</v>
      </c>
      <c r="C9" s="31">
        <v>113.34157210698284</v>
      </c>
      <c r="D9" s="31">
        <v>112.21774404202579</v>
      </c>
      <c r="E9" s="31">
        <v>111.17807044765128</v>
      </c>
      <c r="F9" s="31">
        <v>110.24322064955258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67536000000</v>
      </c>
      <c r="C5" s="18">
        <v>62753000000</v>
      </c>
      <c r="D5" s="18">
        <v>61860000000</v>
      </c>
      <c r="E5" s="18">
        <v>60530000000</v>
      </c>
      <c r="F5" s="6" t="s">
        <v>91</v>
      </c>
    </row>
    <row r="6" spans="1:6" x14ac:dyDescent="0.25">
      <c r="A6" t="s">
        <v>51</v>
      </c>
      <c r="B6" s="18">
        <v>12492000000</v>
      </c>
      <c r="C6" s="18">
        <v>10074000000</v>
      </c>
      <c r="D6" s="18">
        <v>9382000000</v>
      </c>
      <c r="E6" s="18">
        <v>8174000000</v>
      </c>
      <c r="F6" s="6" t="s">
        <v>92</v>
      </c>
    </row>
    <row r="7" spans="1:6" x14ac:dyDescent="0.25">
      <c r="A7" t="s">
        <v>93</v>
      </c>
      <c r="B7" s="18">
        <v>5021000000</v>
      </c>
      <c r="C7" s="18">
        <v>4667000000</v>
      </c>
      <c r="D7" s="18">
        <v>4396000000</v>
      </c>
      <c r="E7" s="18">
        <v>4802000000</v>
      </c>
      <c r="F7" s="6" t="s">
        <v>94</v>
      </c>
    </row>
    <row r="8" spans="1:6" x14ac:dyDescent="0.25">
      <c r="A8" t="s">
        <v>95</v>
      </c>
      <c r="B8" s="18">
        <v>1738000000</v>
      </c>
      <c r="C8" s="18">
        <v>1685000000</v>
      </c>
      <c r="D8" s="18">
        <v>1810000000</v>
      </c>
      <c r="E8" s="18">
        <v>1972000000</v>
      </c>
      <c r="F8" s="6" t="s">
        <v>96</v>
      </c>
    </row>
    <row r="9" spans="1:6" x14ac:dyDescent="0.25">
      <c r="A9" t="s">
        <v>97</v>
      </c>
      <c r="B9" s="18">
        <v>3139000000</v>
      </c>
      <c r="C9" s="18">
        <v>-1313000000</v>
      </c>
      <c r="D9" s="18">
        <v>-2184000000</v>
      </c>
      <c r="E9" s="18">
        <v>-202000000</v>
      </c>
      <c r="F9" s="6" t="s">
        <v>98</v>
      </c>
    </row>
    <row r="10" spans="1:6" x14ac:dyDescent="0.25">
      <c r="A10" t="s">
        <v>99</v>
      </c>
      <c r="B10" s="18">
        <v>64607000000</v>
      </c>
      <c r="C10" s="18">
        <v>58396000000</v>
      </c>
      <c r="D10" s="18">
        <v>59935000000</v>
      </c>
      <c r="E10" s="18">
        <v>54013000000</v>
      </c>
      <c r="F10" s="6" t="s">
        <v>100</v>
      </c>
    </row>
    <row r="11" spans="1:6" x14ac:dyDescent="0.25">
      <c r="A11" t="s">
        <v>101</v>
      </c>
      <c r="B11" s="18">
        <v>14417000000</v>
      </c>
      <c r="C11" s="18">
        <v>14591000000</v>
      </c>
      <c r="D11" s="18">
        <v>13441000000</v>
      </c>
      <c r="E11" s="18">
        <v>8738000000</v>
      </c>
      <c r="F11" s="6" t="s">
        <v>102</v>
      </c>
    </row>
    <row r="12" spans="1:6" x14ac:dyDescent="0.25">
      <c r="A12" t="s">
        <v>34</v>
      </c>
      <c r="B12" s="34">
        <v>948700000</v>
      </c>
      <c r="C12" s="34">
        <v>937200000</v>
      </c>
      <c r="D12" s="34">
        <v>922100000</v>
      </c>
      <c r="E12" s="34">
        <v>912300000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