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<sst xmlns="http://schemas.openxmlformats.org/spreadsheetml/2006/main" count="112" uniqueCount="100">
  <si>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Intercontinental Exchange, Inc. (ICE)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</si>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</sst>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0.0946705327442019</v>
      </c>
    </row>
    <row r="7" spans="1:2" x14ac:dyDescent="0.25">
      <c r="A7" t="s">
        <v>5</v>
      </c>
      <c r="B7" s="6">
        <v>0.38952233027741606</v>
      </c>
    </row>
    <row r="8" spans="1:2" x14ac:dyDescent="0.25">
      <c r="A8" t="s">
        <v>6</v>
      </c>
      <c r="B8" s="6">
        <v>0.19801724910303034</v>
      </c>
    </row>
    <row r="9" spans="1:2" x14ac:dyDescent="0.25">
      <c r="A9" t="s">
        <v>7</v>
      </c>
      <c r="B9" s="6">
        <v>0.12094714628555109</v>
      </c>
    </row>
    <row r="10" spans="1:2" x14ac:dyDescent="0.25">
      <c r="A10" t="s">
        <v>8</v>
      </c>
      <c r="B10" s="6">
        <v>0.05647974665914424</v>
      </c>
    </row>
    <row r="11" spans="1:2" x14ac:dyDescent="0.25">
      <c r="A11" t="s">
        <v>9</v>
      </c>
      <c r="B11" s="6">
        <v>0.5733788395904437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15.847385428266504</v>
      </c>
    </row>
    <row r="14" spans="1:3" x14ac:dyDescent="0.25">
      <c r="A14" t="s">
        <v>12</v>
      </c>
      <c r="B14" s="6">
        <v>0.09077088729132417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0.9557800000000001</v>
      </c>
      <c r="C19" s="8" t="s">
        <v>19</v>
      </c>
    </row>
    <row r="20" spans="1:2" x14ac:dyDescent="0.25">
      <c r="A20" t="s">
        <v>20</v>
      </c>
      <c r="B20" s="10">
        <f>B17+B19*B18</f>
        <v>0.10254790000000001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87280001024</v>
      </c>
    </row>
    <row r="23" spans="1:2" x14ac:dyDescent="0.25">
      <c r="A23" t="s">
        <v>24</v>
      </c>
      <c r="B23" s="11">
        <v>20279000000</v>
      </c>
    </row>
    <row r="24" spans="1:2" x14ac:dyDescent="0.25">
      <c r="A24" t="s">
        <v>25</v>
      </c>
      <c r="B24" s="10">
        <f>B22/(B22+B23)</f>
        <v>0.8114616182101293</v>
      </c>
    </row>
    <row r="25" spans="1:2" x14ac:dyDescent="0.25">
      <c r="A25" t="s">
        <v>26</v>
      </c>
      <c r="B25" s="10">
        <f>1-B24</f>
        <v>0.1885383817898707</v>
      </c>
    </row>
    <row r="26" spans="1:2" x14ac:dyDescent="0.25">
      <c r="A26" t="s">
        <v>27</v>
      </c>
      <c r="B26" s="12">
        <f>B24*B20+B25*B21*(1-B8)</f>
        <v>0.09077088729132417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12640000000</v>
      </c>
      <c r="C29" s="8" t="s">
        <v>30</v>
      </c>
    </row>
    <row r="30" spans="1:2" x14ac:dyDescent="0.25">
      <c r="A30" t="s">
        <v>31</v>
      </c>
      <c r="B30" s="11">
        <v>16663000000</v>
      </c>
    </row>
    <row r="31" spans="1:2" x14ac:dyDescent="0.25">
      <c r="A31" t="s">
        <v>32</v>
      </c>
      <c r="B31" s="13">
        <v>575000000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0.0946705327442019</v>
      </c>
      <c r="C5" s="10">
        <f>Assumptions!B6</f>
        <v>0.0946705327442019</v>
      </c>
      <c r="D5" s="10">
        <f>Assumptions!B6</f>
        <v>0.0946705327442019</v>
      </c>
      <c r="E5" s="10">
        <f>Assumptions!B6</f>
        <v>0.0946705327442019</v>
      </c>
      <c r="F5" s="10">
        <f>Assumptions!B6</f>
        <v>0.0946705327442019</v>
      </c>
    </row>
    <row r="6" spans="1:6" x14ac:dyDescent="0.25">
      <c r="A6" t="s">
        <v>43</v>
      </c>
      <c r="B6" s="18">
        <f>Assumptions!B29*(1+B5)</f>
        <v>13836635533.886711</v>
      </c>
      <c r="C6" s="18">
        <f>B6*(1+C5)</f>
        <v>15146557191.26712</v>
      </c>
      <c r="D6" s="18">
        <f>C6*(1+D5)</f>
        <v>16580489829.804901</v>
      </c>
      <c r="E6" s="18">
        <f>D6*(1+E5)</f>
        <v>18150173635.15235</v>
      </c>
      <c r="F6" s="18">
        <f>E6*(1+F5)</f>
        <v>19868460242.59199</v>
      </c>
    </row>
    <row r="7" spans="1:6" x14ac:dyDescent="0.25">
      <c r="A7" t="s">
        <v>5</v>
      </c>
      <c r="B7" s="10">
        <f>Assumptions!B7</f>
        <v>0.38952233027741606</v>
      </c>
      <c r="C7" s="10">
        <f>Assumptions!B7</f>
        <v>0.38952233027741606</v>
      </c>
      <c r="D7" s="10">
        <f>Assumptions!B7</f>
        <v>0.38952233027741606</v>
      </c>
      <c r="E7" s="10">
        <f>Assumptions!B7</f>
        <v>0.38952233027741606</v>
      </c>
      <c r="F7" s="10">
        <f>Assumptions!B7</f>
        <v>0.38952233027741606</v>
      </c>
    </row>
    <row r="8" spans="1:6" x14ac:dyDescent="0.25">
      <c r="A8" t="s">
        <v>44</v>
      </c>
      <c r="B8" s="18">
        <f>B6*B7</f>
        <v>5389678516.3588505</v>
      </c>
      <c r="C8" s="18">
        <f>C6*C7</f>
        <v>5899922252.822522</v>
      </c>
      <c r="D8" s="18">
        <f>D6*D7</f>
        <v>6458471035.646603</v>
      </c>
      <c r="E8" s="18">
        <f>E6*E7</f>
        <v>7069897929.304263</v>
      </c>
      <c r="F8" s="18">
        <f>F6*F7</f>
        <v>7739208932.718628</v>
      </c>
    </row>
    <row r="9" spans="1:6" x14ac:dyDescent="0.25">
      <c r="A9" t="s">
        <v>45</v>
      </c>
      <c r="B9" s="18">
        <f>B8*(1-Assumptions!B8)</f>
        <v>4322429202.999769</v>
      </c>
      <c r="C9" s="18">
        <f>C8*(1-Assumptions!B8)</f>
        <v>4731635878.396853</v>
      </c>
      <c r="D9" s="18">
        <f>D8*(1-Assumptions!B8)</f>
        <v>5179582367.756263</v>
      </c>
      <c r="E9" s="18">
        <f>E8*(1-Assumptions!B8)</f>
        <v>5669936189.9042225</v>
      </c>
      <c r="F9" s="18">
        <f>F8*(1-Assumptions!B8)</f>
        <v>6206712069.628086</v>
      </c>
    </row>
    <row r="10" spans="1:6" x14ac:dyDescent="0.25">
      <c r="A10" t="s">
        <v>46</v>
      </c>
      <c r="B10" s="18">
        <f>B6*Assumptions!B9</f>
        <v>1673501582.0168502</v>
      </c>
      <c r="C10" s="18">
        <f>C6*Assumptions!B9</f>
        <v>1831932868.3346503</v>
      </c>
      <c r="D10" s="18">
        <f>D6*Assumptions!B9</f>
        <v>2005362928.9315054</v>
      </c>
      <c r="E10" s="18">
        <f>E6*Assumptions!B9</f>
        <v>2195211705.758924</v>
      </c>
      <c r="F10" s="18">
        <f>F6*Assumptions!B9</f>
        <v>2403033567.4294295</v>
      </c>
    </row>
    <row r="11" spans="1:6" x14ac:dyDescent="0.25">
      <c r="A11" t="s">
        <v>47</v>
      </c>
      <c r="B11" s="18">
        <f>-B6*Assumptions!B10</f>
        <v>-781489669.5688344</v>
      </c>
      <c r="C11" s="18">
        <f>-C6*Assumptions!B10</f>
        <v>-855473712.9210062</v>
      </c>
      <c r="D11" s="18">
        <f>-D6*Assumptions!B10</f>
        <v>-936461865.0718983</v>
      </c>
      <c r="E11" s="18">
        <f>-E6*Assumptions!B10</f>
        <v>-1025117208.7328838</v>
      </c>
      <c r="F11" s="18">
        <f>-F6*Assumptions!B10</f>
        <v>-1122165601.0088751</v>
      </c>
    </row>
    <row r="12" spans="1:6" x14ac:dyDescent="0.25">
      <c r="A12" t="s">
        <v>48</v>
      </c>
      <c r="B12" s="18">
        <f>-(B6-Assumptions!B29)*Assumptions!B11</f>
        <v>-686125493.8326534</v>
      </c>
      <c r="C12" s="18">
        <f>-(C6-B6)*Assumptions!B11</f>
        <v>-751081359.8631698</v>
      </c>
      <c r="D12" s="18">
        <f>-(D6-C6)*Assumptions!B11</f>
        <v>-822186632.3356558</v>
      </c>
      <c r="E12" s="18">
        <f>-(E6-D6)*Assumptions!B11</f>
        <v>-900023478.8340329</v>
      </c>
      <c r="F12" s="18">
        <f>-(F6-E6)*Assumptions!B11</f>
        <v>-985229181.057541</v>
      </c>
    </row>
    <row r="13" spans="1:6" x14ac:dyDescent="0.25">
      <c r="A13" s="19" t="s">
        <v>49</v>
      </c>
      <c r="B13" s="20">
        <f>B9+B10+B11+B12</f>
        <v>4528315621.615132</v>
      </c>
      <c r="C13" s="20">
        <f>C9+C10+C11+C12</f>
        <v>4957013673.947328</v>
      </c>
      <c r="D13" s="20">
        <f>D9+D10+D11+D12</f>
        <v>5426296799.280213</v>
      </c>
      <c r="E13" s="20">
        <f>E9+E10+E11+E12</f>
        <v>5940007208.0962305</v>
      </c>
      <c r="F13" s="20">
        <f>F9+F10+F11+F12</f>
        <v>6502350854.9911</v>
      </c>
    </row>
    <row r="14" spans="1:6" x14ac:dyDescent="0.25">
      <c r="A14" t="s">
        <v>50</v>
      </c>
      <c r="B14" s="21">
        <f>1/(1+Assumptions!$B$26)^(1-0.5*Assumptions!$B$32)</f>
        <v>0.9574877601355521</v>
      </c>
      <c r="C14" s="21">
        <f>1/(1+Assumptions!$B$26)^(2-0.5*Assumptions!$B$32)</f>
        <v>0.8778083200526652</v>
      </c>
      <c r="D14" s="21">
        <f>1/(1+Assumptions!$B$26)^(3-0.5*Assumptions!$B$32)</f>
        <v>0.804759579009757</v>
      </c>
      <c r="E14" s="21">
        <f>1/(1+Assumptions!$B$26)^(4-0.5*Assumptions!$B$32)</f>
        <v>0.7377897488703519</v>
      </c>
      <c r="F14" s="21">
        <f>1/(1+Assumptions!$B$26)^(5-0.5*Assumptions!$B$32)</f>
        <v>0.6763929597557202</v>
      </c>
    </row>
    <row r="15" spans="1:6" x14ac:dyDescent="0.25">
      <c r="A15" s="19" t="s">
        <v>51</v>
      </c>
      <c r="B15" s="20">
        <f>B13*B14</f>
        <v>4335806781.727103</v>
      </c>
      <c r="C15" s="20">
        <f>C13*C14</f>
        <v>4351307845.605793</v>
      </c>
      <c r="D15" s="20">
        <f>D13*D14</f>
        <v>4366864327.770737</v>
      </c>
      <c r="E15" s="20">
        <f>E13*E14</f>
        <v>4382476426.349398</v>
      </c>
      <c r="F15" s="20">
        <f>F13*F14</f>
        <v>4398144340.177568</v>
      </c>
    </row>
    <row r="17" spans="1:2" x14ac:dyDescent="0.25">
      <c r="A17" s="22" t="s">
        <v>52</v>
      </c>
      <c r="B17" s="23">
        <f>SUM(B15:F15)</f>
        <v>21834599721.6306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6502350854.9911</v>
      </c>
    </row>
    <row r="5" spans="1:2" x14ac:dyDescent="0.25">
      <c r="A5" t="s">
        <v>56</v>
      </c>
      <c r="B5" s="18">
        <f>IF(Assumptions!$B$33=0,B4,B4-Forecast!F11-Forecast!F10-Forecast!F12)</f>
        <v>7416211665.860224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0.27541870247190464</v>
      </c>
    </row>
    <row r="7" spans="1:2" x14ac:dyDescent="0.25">
      <c r="A7" t="s">
        <v>58</v>
      </c>
      <c r="B7" s="18">
        <f>-MAX(Forecast!F9,0)*B6</f>
        <v>-2042563394.2682252</v>
      </c>
    </row>
    <row r="8" spans="1:2" x14ac:dyDescent="0.25">
      <c r="A8" t="s">
        <v>59</v>
      </c>
      <c r="B8" s="18">
        <f>IF(OR(Assumptions!$B$33=0,Assumptions!B12&lt;=0),B5,MAX(B5+B7,0))</f>
        <v>5373648271.591999</v>
      </c>
    </row>
    <row r="9" spans="1:2" x14ac:dyDescent="0.25">
      <c r="A9" t="s">
        <v>60</v>
      </c>
      <c r="B9" s="18">
        <f>B8*(1+Assumptions!B12)/(Assumptions!B26-Assumptions!B12)</f>
        <v>83745099164.99724</v>
      </c>
    </row>
    <row r="10" spans="1:2" x14ac:dyDescent="0.25">
      <c r="A10" t="s">
        <v>61</v>
      </c>
      <c r="B10" s="18">
        <f>B9/(1+Assumptions!B26)^(5-0.5*Assumptions!B32)</f>
        <v>56644595489.24878</v>
      </c>
    </row>
    <row r="11" spans="1:2" x14ac:dyDescent="0.25">
      <c r="A11" t="s">
        <v>62</v>
      </c>
      <c r="B11" s="18">
        <f>Forecast!B17+B10</f>
        <v>78479195210.87938</v>
      </c>
    </row>
    <row r="12" spans="1:2" x14ac:dyDescent="0.25">
      <c r="A12" t="s">
        <v>63</v>
      </c>
      <c r="B12" s="18">
        <f>-Assumptions!B30</f>
        <v>-16663000000</v>
      </c>
    </row>
    <row r="13" spans="1:2" x14ac:dyDescent="0.25">
      <c r="A13" t="s">
        <v>64</v>
      </c>
      <c r="B13" s="18">
        <f>B11+B12</f>
        <v>61816195210.87938</v>
      </c>
    </row>
    <row r="14" spans="1:2" x14ac:dyDescent="0.25">
      <c r="A14" s="19" t="s">
        <v>65</v>
      </c>
      <c r="B14" s="24">
        <f>B13/Assumptions!B31</f>
        <v>107.50642645370327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10142242500.148058</v>
      </c>
    </row>
    <row r="18" spans="1:2" x14ac:dyDescent="0.25">
      <c r="A18" t="s">
        <v>60</v>
      </c>
      <c r="B18" s="18">
        <f>B17*Assumptions!B13</f>
        <v>160728026006.79156</v>
      </c>
    </row>
    <row r="19" spans="1:2" x14ac:dyDescent="0.25">
      <c r="A19" t="s">
        <v>61</v>
      </c>
      <c r="B19" s="18">
        <f>B18/(1+Assumptions!B26)^(5-0.5*Assumptions!B32)</f>
        <v>108715305226.42812</v>
      </c>
    </row>
    <row r="20" spans="1:2" x14ac:dyDescent="0.25">
      <c r="A20" t="s">
        <v>62</v>
      </c>
      <c r="B20" s="18">
        <f>Forecast!B17+B19</f>
        <v>130549904948.05872</v>
      </c>
    </row>
    <row r="21" spans="1:2" x14ac:dyDescent="0.25">
      <c r="A21" t="s">
        <v>63</v>
      </c>
      <c r="B21" s="18">
        <f>-Assumptions!B30</f>
        <v>-16663000000</v>
      </c>
    </row>
    <row r="22" spans="1:2" x14ac:dyDescent="0.25">
      <c r="A22" t="s">
        <v>64</v>
      </c>
      <c r="B22" s="18">
        <f>B20+B21</f>
        <v>113886904948.05872</v>
      </c>
    </row>
    <row r="23" spans="1:2" x14ac:dyDescent="0.25">
      <c r="A23" s="19" t="s">
        <v>65</v>
      </c>
      <c r="B23" s="25">
        <f>B22/Assumptions!B31</f>
        <v>198.064182518363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155.47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107.50642645370327</v>
      </c>
    </row>
    <row r="29" spans="1:2" x14ac:dyDescent="0.25">
      <c r="A29" s="19" t="s">
        <v>73</v>
      </c>
      <c r="B29" s="12">
        <f>B28/B26-1</f>
        <v>-0.3085069373274376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0.070771</v>
      </c>
      <c r="B5" s="31">
        <v>148.15309444097204</v>
      </c>
      <c r="C5" s="31">
        <v>149.4634127125774</v>
      </c>
      <c r="D5" s="31">
        <v>150.91908545893438</v>
      </c>
      <c r="E5" s="31">
        <v>152.57358983589603</v>
      </c>
      <c r="F5" s="31">
        <v>154.51030272582685</v>
      </c>
    </row>
    <row r="6" spans="1:6" x14ac:dyDescent="0.25">
      <c r="A6" s="30">
        <v>0.080771</v>
      </c>
      <c r="B6" s="31">
        <v>124.15206076444325</v>
      </c>
      <c r="C6" s="31">
        <v>124.7149555731692</v>
      </c>
      <c r="D6" s="31">
        <v>125.27785038189516</v>
      </c>
      <c r="E6" s="31">
        <v>125.84074519062108</v>
      </c>
      <c r="F6" s="31">
        <v>126.403639999347</v>
      </c>
    </row>
    <row r="7" spans="1:6" x14ac:dyDescent="0.25">
      <c r="A7" s="30">
        <v>0.090771</v>
      </c>
      <c r="B7" s="31">
        <v>106.5451541294082</v>
      </c>
      <c r="C7" s="31">
        <v>107.0257013091835</v>
      </c>
      <c r="D7" s="32">
        <v>107.50624848895876</v>
      </c>
      <c r="E7" s="31">
        <v>107.98679566873408</v>
      </c>
      <c r="F7" s="31">
        <v>108.46734284850933</v>
      </c>
    </row>
    <row r="8" spans="1:6" x14ac:dyDescent="0.25">
      <c r="A8" s="30">
        <v>0.100771</v>
      </c>
      <c r="B8" s="31">
        <v>92.4732893881458</v>
      </c>
      <c r="C8" s="31">
        <v>92.88873320551403</v>
      </c>
      <c r="D8" s="31">
        <v>93.30417702288224</v>
      </c>
      <c r="E8" s="31">
        <v>93.71962084025046</v>
      </c>
      <c r="F8" s="31">
        <v>94.13506465761867</v>
      </c>
    </row>
    <row r="9" spans="1:6" x14ac:dyDescent="0.25">
      <c r="A9" s="30">
        <v>0.110771</v>
      </c>
      <c r="B9" s="31">
        <v>80.97710340178361</v>
      </c>
      <c r="C9" s="31">
        <v>81.33997067629103</v>
      </c>
      <c r="D9" s="31">
        <v>81.70283795079844</v>
      </c>
      <c r="E9" s="31">
        <v>82.06570522530586</v>
      </c>
      <c r="F9" s="31">
        <v>82.42857249981328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12640000000</v>
      </c>
      <c r="C5" s="18">
        <v>11761000000</v>
      </c>
      <c r="D5" s="18">
        <v>9903000000</v>
      </c>
      <c r="E5" s="18">
        <v>9636000000</v>
      </c>
      <c r="F5" s="8" t="s">
        <v>84</v>
      </c>
    </row>
    <row r="6" spans="1:6" x14ac:dyDescent="0.25">
      <c r="A6" t="s">
        <v>44</v>
      </c>
      <c r="B6" s="18">
        <v>4999000000</v>
      </c>
      <c r="C6" s="18">
        <v>4413000000</v>
      </c>
      <c r="D6" s="18">
        <v>3963000000</v>
      </c>
      <c r="E6" s="18">
        <v>3731000000</v>
      </c>
      <c r="F6" s="8" t="s">
        <v>85</v>
      </c>
    </row>
    <row r="7" spans="1:6" x14ac:dyDescent="0.25">
      <c r="A7" t="s">
        <v>86</v>
      </c>
      <c r="B7" s="18">
        <v>1560000000</v>
      </c>
      <c r="C7" s="18">
        <v>1537000000</v>
      </c>
      <c r="D7" s="18">
        <v>1215000000</v>
      </c>
      <c r="E7" s="18">
        <v>1031000000</v>
      </c>
      <c r="F7" s="8" t="s">
        <v>87</v>
      </c>
    </row>
    <row r="8" spans="1:6" x14ac:dyDescent="0.25">
      <c r="A8" t="s">
        <v>88</v>
      </c>
      <c r="B8" s="18">
        <v>791000000</v>
      </c>
      <c r="C8" s="18">
        <v>752000000</v>
      </c>
      <c r="D8" s="18">
        <v>489000000</v>
      </c>
      <c r="E8" s="18">
        <v>482000000</v>
      </c>
      <c r="F8" s="8" t="s">
        <v>89</v>
      </c>
    </row>
    <row r="9" spans="1:6" x14ac:dyDescent="0.25">
      <c r="A9" t="s">
        <v>90</v>
      </c>
      <c r="B9" s="18">
        <v>504000000</v>
      </c>
      <c r="C9" s="18">
        <v>-63000000</v>
      </c>
      <c r="D9" s="18">
        <v>388000000</v>
      </c>
      <c r="E9" s="18">
        <v>-123000000</v>
      </c>
      <c r="F9" s="8" t="s">
        <v>91</v>
      </c>
    </row>
    <row r="10" spans="1:6" x14ac:dyDescent="0.25">
      <c r="A10" t="s">
        <v>92</v>
      </c>
      <c r="B10" s="18">
        <v>20279000000</v>
      </c>
      <c r="C10" s="18">
        <v>20703000000</v>
      </c>
      <c r="D10" s="18">
        <v>22912000000</v>
      </c>
      <c r="E10" s="18">
        <v>18376000000</v>
      </c>
      <c r="F10" s="8" t="s">
        <v>93</v>
      </c>
    </row>
    <row r="11" spans="1:6" x14ac:dyDescent="0.25">
      <c r="A11" t="s">
        <v>94</v>
      </c>
      <c r="B11" s="18">
        <v>3616000000</v>
      </c>
      <c r="C11" s="18">
        <v>1368000000</v>
      </c>
      <c r="D11" s="18">
        <v>1129000000</v>
      </c>
      <c r="E11" s="18">
        <v>4415000000</v>
      </c>
      <c r="F11" s="8" t="s">
        <v>95</v>
      </c>
    </row>
    <row r="12" spans="1:6" x14ac:dyDescent="0.25">
      <c r="A12" t="s">
        <v>32</v>
      </c>
      <c r="B12" s="34">
        <v>575000000</v>
      </c>
      <c r="C12" s="34">
        <v>576000000</v>
      </c>
      <c r="D12" s="34">
        <v>565000000</v>
      </c>
      <c r="E12" s="34">
        <v>561000000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2026-09-19T01:04:55Z</dcterms:modified>
</cp:coreProperties>
</file>