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<sst xmlns="http://schemas.openxmlformats.org/spreadsheetml/2006/main" count="113" uniqueCount="101">
  <si>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ICG plc (ICG.L)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</si>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</sst>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0.19795918500173437</v>
      </c>
    </row>
    <row r="7" spans="1:2" x14ac:dyDescent="0.25">
      <c r="A7" t="s">
        <v>5</v>
      </c>
      <c r="B7" s="6">
        <v>0.5302724920911415</v>
      </c>
    </row>
    <row r="8" spans="1:2" x14ac:dyDescent="0.25">
      <c r="A8" t="s">
        <v>6</v>
      </c>
      <c r="B8" s="6">
        <v>0.1335200117618064</v>
      </c>
    </row>
    <row r="9" spans="1:2" x14ac:dyDescent="0.25">
      <c r="A9" t="s">
        <v>7</v>
      </c>
      <c r="B9" s="6">
        <v>0.02130901511465049</v>
      </c>
    </row>
    <row r="10" spans="1:2" x14ac:dyDescent="0.25">
      <c r="A10" t="s">
        <v>8</v>
      </c>
      <c r="B10" s="6">
        <v>0.010746004340483107</v>
      </c>
    </row>
    <row r="11" spans="1:2" x14ac:dyDescent="0.25">
      <c r="A11" t="s">
        <v>9</v>
      </c>
      <c r="B11" s="6">
        <v>0.9030612244897959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17.92844511397423</v>
      </c>
    </row>
    <row r="14" spans="1:3" x14ac:dyDescent="0.25">
      <c r="A14" t="s">
        <v>12</v>
      </c>
      <c r="B14" s="6">
        <v>0.07421384599755187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1.29279</v>
      </c>
      <c r="C19" s="8" t="s">
        <v>19</v>
      </c>
    </row>
    <row r="20" spans="1:2" x14ac:dyDescent="0.25">
      <c r="A20" t="s">
        <v>20</v>
      </c>
      <c r="B20" s="10">
        <f>B17+B19*B18</f>
        <v>0.11610345000000001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5405980672</v>
      </c>
    </row>
    <row r="23" spans="1:2" x14ac:dyDescent="0.25">
      <c r="A23" t="s">
        <v>24</v>
      </c>
      <c r="B23" s="11">
        <v>6429300000</v>
      </c>
    </row>
    <row r="24" spans="1:2" x14ac:dyDescent="0.25">
      <c r="A24" t="s">
        <v>25</v>
      </c>
      <c r="B24" s="10">
        <f>B22/(B22+B23)</f>
        <v>0.4567682695341152</v>
      </c>
    </row>
    <row r="25" spans="1:2" x14ac:dyDescent="0.25">
      <c r="A25" t="s">
        <v>26</v>
      </c>
      <c r="B25" s="10">
        <f>1-B24</f>
        <v>0.5432317304658848</v>
      </c>
    </row>
    <row r="26" spans="1:2" x14ac:dyDescent="0.25">
      <c r="A26" t="s">
        <v>27</v>
      </c>
      <c r="B26" s="12">
        <f>B24*B20+B25*B21*(1-B8)</f>
        <v>0.07421384599755187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1029800000</v>
      </c>
      <c r="C29" s="8" t="s">
        <v>30</v>
      </c>
    </row>
    <row r="30" spans="1:2" x14ac:dyDescent="0.25">
      <c r="A30" t="s">
        <v>31</v>
      </c>
      <c r="B30" s="11">
        <v>5447900000</v>
      </c>
    </row>
    <row r="31" spans="1:2" x14ac:dyDescent="0.25">
      <c r="A31" t="s">
        <v>32</v>
      </c>
      <c r="B31" s="13">
        <v>291865989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0.19795918500173437</v>
      </c>
      <c r="C5" s="10">
        <f>Assumptions!B6</f>
        <v>0.19795918500173437</v>
      </c>
      <c r="D5" s="10">
        <f>Assumptions!B6</f>
        <v>0.19795918500173437</v>
      </c>
      <c r="E5" s="10">
        <f>Assumptions!B6</f>
        <v>0.19795918500173437</v>
      </c>
      <c r="F5" s="10">
        <f>Assumptions!B6</f>
        <v>0.19795918500173437</v>
      </c>
    </row>
    <row r="6" spans="1:6" x14ac:dyDescent="0.25">
      <c r="A6" t="s">
        <v>43</v>
      </c>
      <c r="B6" s="18">
        <f>Assumptions!B29*(1+B5)</f>
        <v>1233658368.714786</v>
      </c>
      <c r="C6" s="18">
        <f>B6*(1+C5)</f>
        <v>1477872373.9561343</v>
      </c>
      <c r="D6" s="18">
        <f>C6*(1+D5)</f>
        <v>1770430784.6410692</v>
      </c>
      <c r="E6" s="18">
        <f>D6*(1+E5)</f>
        <v>2120903819.8705964</v>
      </c>
      <c r="F6" s="18">
        <f>E6*(1+F5)</f>
        <v>2540756211.519245</v>
      </c>
    </row>
    <row r="7" spans="1:6" x14ac:dyDescent="0.25">
      <c r="A7" t="s">
        <v>5</v>
      </c>
      <c r="B7" s="10">
        <f>Assumptions!B7</f>
        <v>0.5302724920911415</v>
      </c>
      <c r="C7" s="10">
        <f>Assumptions!B7</f>
        <v>0.5302724920911415</v>
      </c>
      <c r="D7" s="10">
        <f>Assumptions!B7</f>
        <v>0.5302724920911415</v>
      </c>
      <c r="E7" s="10">
        <f>Assumptions!B7</f>
        <v>0.5302724920911415</v>
      </c>
      <c r="F7" s="10">
        <f>Assumptions!B7</f>
        <v>0.5302724920911415</v>
      </c>
    </row>
    <row r="8" spans="1:6" x14ac:dyDescent="0.25">
      <c r="A8" t="s">
        <v>44</v>
      </c>
      <c r="B8" s="18">
        <f>B6*B7</f>
        <v>654175097.5674819</v>
      </c>
      <c r="C8" s="18">
        <f>C6*C7</f>
        <v>783675066.7303708</v>
      </c>
      <c r="D8" s="18">
        <f>D6*D7</f>
        <v>938810744.2464948</v>
      </c>
      <c r="E8" s="18">
        <f>E6*E7</f>
        <v>1124656954.0484025</v>
      </c>
      <c r="F8" s="18">
        <f>F6*F7</f>
        <v>1347293128.0783575</v>
      </c>
    </row>
    <row r="9" spans="1:6" x14ac:dyDescent="0.25">
      <c r="A9" t="s">
        <v>45</v>
      </c>
      <c r="B9" s="18">
        <f>B8*(1-Assumptions!B8)</f>
        <v>566829630.8459909</v>
      </c>
      <c r="C9" s="18">
        <f>C8*(1-Assumptions!B8)</f>
        <v>679038762.6030972</v>
      </c>
      <c r="D9" s="18">
        <f>D8*(1-Assumptions!B8)</f>
        <v>813460722.6325926</v>
      </c>
      <c r="E9" s="18">
        <f>E8*(1-Assumptions!B8)</f>
        <v>974492744.3158625</v>
      </c>
      <c r="F9" s="18">
        <f>F8*(1-Assumptions!B8)</f>
        <v>1167402533.7707343</v>
      </c>
    </row>
    <row r="10" spans="1:6" x14ac:dyDescent="0.25">
      <c r="A10" t="s">
        <v>46</v>
      </c>
      <c r="B10" s="18">
        <f>B6*Assumptions!B9</f>
        <v>26288044.825258445</v>
      </c>
      <c r="C10" s="18">
        <f>C6*Assumptions!B9</f>
        <v>31492004.75415567</v>
      </c>
      <c r="D10" s="18">
        <f>D6*Assumptions!B9</f>
        <v>37726136.34935907</v>
      </c>
      <c r="E10" s="18">
        <f>E6*Assumptions!B9</f>
        <v>45194371.5543425</v>
      </c>
      <c r="F10" s="18">
        <f>F6*Assumptions!B9</f>
        <v>54141012.51390571</v>
      </c>
    </row>
    <row r="11" spans="1:6" x14ac:dyDescent="0.25">
      <c r="A11" t="s">
        <v>47</v>
      </c>
      <c r="B11" s="18">
        <f>-B6*Assumptions!B10</f>
        <v>-13256898.1848824</v>
      </c>
      <c r="C11" s="18">
        <f>-C6*Assumptions!B10</f>
        <v>-15881222.945212692</v>
      </c>
      <c r="D11" s="18">
        <f>-D6*Assumptions!B10</f>
        <v>-19025056.89627784</v>
      </c>
      <c r="E11" s="18">
        <f>-E6*Assumptions!B10</f>
        <v>-22791241.654076632</v>
      </c>
      <c r="F11" s="18">
        <f>-F6*Assumptions!B10</f>
        <v>-27302977.277095225</v>
      </c>
    </row>
    <row r="12" spans="1:6" x14ac:dyDescent="0.25">
      <c r="A12" t="s">
        <v>48</v>
      </c>
      <c r="B12" s="18">
        <f>-(B6-Assumptions!B29)*Assumptions!B11</f>
        <v>-184096588.074067</v>
      </c>
      <c r="C12" s="18">
        <f>-(C6-B6)*Assumptions!B11</f>
        <v>-220540198.6108094</v>
      </c>
      <c r="D12" s="18">
        <f>-(D6-C6)*Assumptions!B11</f>
        <v>-264198156.58792585</v>
      </c>
      <c r="E12" s="18">
        <f>-(E6-D6)*Assumptions!B11</f>
        <v>-316498608.3450322</v>
      </c>
      <c r="F12" s="18">
        <f>-(F6-E6)*Assumptions!B11</f>
        <v>-379152414.9071981</v>
      </c>
    </row>
    <row r="13" spans="1:6" x14ac:dyDescent="0.25">
      <c r="A13" s="19" t="s">
        <v>49</v>
      </c>
      <c r="B13" s="20">
        <f>B9+B10+B11+B12</f>
        <v>395764189.4123</v>
      </c>
      <c r="C13" s="20">
        <f>C9+C10+C11+C12</f>
        <v>474109345.8012307</v>
      </c>
      <c r="D13" s="20">
        <f>D9+D10+D11+D12</f>
        <v>567963645.4977479</v>
      </c>
      <c r="E13" s="20">
        <f>E9+E10+E11+E12</f>
        <v>680397265.8710963</v>
      </c>
      <c r="F13" s="20">
        <f>F9+F10+F11+F12</f>
        <v>815088154.1003467</v>
      </c>
    </row>
    <row r="14" spans="1:6" x14ac:dyDescent="0.25">
      <c r="A14" t="s">
        <v>50</v>
      </c>
      <c r="B14" s="21">
        <f>1/(1+Assumptions!$B$26)^(1-0.5*Assumptions!$B$32)</f>
        <v>0.9648385049823025</v>
      </c>
      <c r="C14" s="21">
        <f>1/(1+Assumptions!$B$26)^(2-0.5*Assumptions!$B$32)</f>
        <v>0.8981810359056771</v>
      </c>
      <c r="D14" s="21">
        <f>1/(1+Assumptions!$B$26)^(3-0.5*Assumptions!$B$32)</f>
        <v>0.8361287086851829</v>
      </c>
      <c r="E14" s="21">
        <f>1/(1+Assumptions!$B$26)^(4-0.5*Assumptions!$B$32)</f>
        <v>0.7783633694543614</v>
      </c>
      <c r="F14" s="21">
        <f>1/(1+Assumptions!$B$26)^(5-0.5*Assumptions!$B$32)</f>
        <v>0.7245888445345315</v>
      </c>
    </row>
    <row r="15" spans="1:6" x14ac:dyDescent="0.25">
      <c r="A15" s="19" t="s">
        <v>51</v>
      </c>
      <c r="B15" s="20">
        <f>B13*B14</f>
        <v>381848528.8380963</v>
      </c>
      <c r="C15" s="20">
        <f>C13*C14</f>
        <v>425836023.3443123</v>
      </c>
      <c r="D15" s="20">
        <f>D13*D14</f>
        <v>474890709.49016094</v>
      </c>
      <c r="E15" s="20">
        <f>E13*E14</f>
        <v>529596308.43096143</v>
      </c>
      <c r="F15" s="20">
        <f>F13*F14</f>
        <v>590603783.7733544</v>
      </c>
    </row>
    <row r="17" spans="1:2" x14ac:dyDescent="0.25">
      <c r="A17" s="22" t="s">
        <v>52</v>
      </c>
      <c r="B17" s="23">
        <f>SUM(B15:F15)</f>
        <v>2402775353.8768854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815088154.1003467</v>
      </c>
    </row>
    <row r="5" spans="1:2" x14ac:dyDescent="0.25">
      <c r="A5" t="s">
        <v>56</v>
      </c>
      <c r="B5" s="18">
        <f>IF(Assumptions!$B$33=0,B4,B4-Forecast!F11-Forecast!F10-Forecast!F12)</f>
        <v>1182011424.0285823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0.3368643635693626</v>
      </c>
    </row>
    <row r="7" spans="1:2" x14ac:dyDescent="0.25">
      <c r="A7" t="s">
        <v>58</v>
      </c>
      <c r="B7" s="18">
        <f>-MAX(Forecast!F9,0)*B6</f>
        <v>-398177526.0871044</v>
      </c>
    </row>
    <row r="8" spans="1:2" x14ac:dyDescent="0.25">
      <c r="A8" t="s">
        <v>59</v>
      </c>
      <c r="B8" s="18">
        <f>IF(OR(Assumptions!$B$33=0,Assumptions!B12&lt;=0),B5,MAX(B5+B7,0))</f>
        <v>783833897.941478</v>
      </c>
    </row>
    <row r="9" spans="1:2" x14ac:dyDescent="0.25">
      <c r="A9" t="s">
        <v>60</v>
      </c>
      <c r="B9" s="18">
        <f>B8*(1+Assumptions!B12)/(Assumptions!B26-Assumptions!B12)</f>
        <v>16325278569.57128</v>
      </c>
    </row>
    <row r="10" spans="1:2" x14ac:dyDescent="0.25">
      <c r="A10" t="s">
        <v>61</v>
      </c>
      <c r="B10" s="18">
        <f>B9/(1+Assumptions!B26)^(5-0.5*Assumptions!B32)</f>
        <v>11829114735.430004</v>
      </c>
    </row>
    <row r="11" spans="1:2" x14ac:dyDescent="0.25">
      <c r="A11" t="s">
        <v>62</v>
      </c>
      <c r="B11" s="18">
        <f>Forecast!B17+B10</f>
        <v>14231890089.306889</v>
      </c>
    </row>
    <row r="12" spans="1:2" x14ac:dyDescent="0.25">
      <c r="A12" t="s">
        <v>63</v>
      </c>
      <c r="B12" s="18">
        <f>-Assumptions!B30</f>
        <v>-5447900000</v>
      </c>
    </row>
    <row r="13" spans="1:2" x14ac:dyDescent="0.25">
      <c r="A13" t="s">
        <v>64</v>
      </c>
      <c r="B13" s="18">
        <f>B11+B12</f>
        <v>8783990089.306889</v>
      </c>
    </row>
    <row r="14" spans="1:2" x14ac:dyDescent="0.25">
      <c r="A14" s="19" t="s">
        <v>65</v>
      </c>
      <c r="B14" s="24">
        <f>B13/Assumptions!B31</f>
        <v>30.095970138222885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1401434140.5922632</v>
      </c>
    </row>
    <row r="18" spans="1:2" x14ac:dyDescent="0.25">
      <c r="A18" t="s">
        <v>60</v>
      </c>
      <c r="B18" s="18">
        <f>B17*Assumptions!B13</f>
        <v>25125535070.45804</v>
      </c>
    </row>
    <row r="19" spans="1:2" x14ac:dyDescent="0.25">
      <c r="A19" t="s">
        <v>61</v>
      </c>
      <c r="B19" s="18">
        <f>B18/(1+Assumptions!B26)^(5-0.5*Assumptions!B32)</f>
        <v>18205682425.01504</v>
      </c>
    </row>
    <row r="20" spans="1:2" x14ac:dyDescent="0.25">
      <c r="A20" t="s">
        <v>62</v>
      </c>
      <c r="B20" s="18">
        <f>Forecast!B17+B19</f>
        <v>20608457778.891926</v>
      </c>
    </row>
    <row r="21" spans="1:2" x14ac:dyDescent="0.25">
      <c r="A21" t="s">
        <v>63</v>
      </c>
      <c r="B21" s="18">
        <f>-Assumptions!B30</f>
        <v>-5447900000</v>
      </c>
    </row>
    <row r="22" spans="1:2" x14ac:dyDescent="0.25">
      <c r="A22" t="s">
        <v>64</v>
      </c>
      <c r="B22" s="18">
        <f>B20+B21</f>
        <v>15160557778.891926</v>
      </c>
    </row>
    <row r="23" spans="1:2" x14ac:dyDescent="0.25">
      <c r="A23" s="19" t="s">
        <v>65</v>
      </c>
      <c r="B23" s="25">
        <f>B22/Assumptions!B31</f>
        <v>51.94355748963928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1860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3009.5970138222883</v>
      </c>
    </row>
    <row r="29" spans="1:2" x14ac:dyDescent="0.25">
      <c r="A29" s="19" t="s">
        <v>73</v>
      </c>
      <c r="B29" s="12">
        <f>B28/B26-1</f>
        <v>0.6180629106571442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0.054214</v>
      </c>
      <c r="B5" s="31">
        <v>49.90679342965112</v>
      </c>
      <c r="C5" s="31">
        <v>50.26448107899544</v>
      </c>
      <c r="D5" s="31">
        <v>50.644310325074365</v>
      </c>
      <c r="E5" s="31">
        <v>51.0599973631064</v>
      </c>
      <c r="F5" s="31">
        <v>51.539535681136435</v>
      </c>
    </row>
    <row r="6" spans="1:6" x14ac:dyDescent="0.25">
      <c r="A6" s="30">
        <v>0.064214</v>
      </c>
      <c r="B6" s="31">
        <v>38.15688143538947</v>
      </c>
      <c r="C6" s="31">
        <v>38.395194641462105</v>
      </c>
      <c r="D6" s="31">
        <v>38.63350784753472</v>
      </c>
      <c r="E6" s="31">
        <v>38.871821053607356</v>
      </c>
      <c r="F6" s="31">
        <v>39.110134259679974</v>
      </c>
    </row>
    <row r="7" spans="1:6" x14ac:dyDescent="0.25">
      <c r="A7" s="30">
        <v>0.074214</v>
      </c>
      <c r="B7" s="31">
        <v>29.70045027010744</v>
      </c>
      <c r="C7" s="31">
        <v>29.898153476091935</v>
      </c>
      <c r="D7" s="32">
        <v>30.095856682076423</v>
      </c>
      <c r="E7" s="31">
        <v>30.29355988806092</v>
      </c>
      <c r="F7" s="31">
        <v>30.491263094045408</v>
      </c>
    </row>
    <row r="8" spans="1:6" x14ac:dyDescent="0.25">
      <c r="A8" s="30">
        <v>0.084214</v>
      </c>
      <c r="B8" s="31">
        <v>23.286345483118634</v>
      </c>
      <c r="C8" s="31">
        <v>23.45345698552508</v>
      </c>
      <c r="D8" s="31">
        <v>23.620568487931504</v>
      </c>
      <c r="E8" s="31">
        <v>23.78767999033795</v>
      </c>
      <c r="F8" s="31">
        <v>23.95479149274438</v>
      </c>
    </row>
    <row r="9" spans="1:6" x14ac:dyDescent="0.25">
      <c r="A9" s="30">
        <v>0.094214</v>
      </c>
      <c r="B9" s="31">
        <v>18.262574031896705</v>
      </c>
      <c r="C9" s="31">
        <v>18.405902527929086</v>
      </c>
      <c r="D9" s="31">
        <v>18.549231023961458</v>
      </c>
      <c r="E9" s="31">
        <v>18.69255951999383</v>
      </c>
      <c r="F9" s="31">
        <v>18.8358880160262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1029800000</v>
      </c>
      <c r="C5" s="18">
        <v>951400000</v>
      </c>
      <c r="D5" s="18">
        <v>925900000</v>
      </c>
      <c r="E5" s="18">
        <v>599000000</v>
      </c>
      <c r="F5" s="8" t="s">
        <v>84</v>
      </c>
    </row>
    <row r="6" spans="1:6" x14ac:dyDescent="0.25">
      <c r="A6" t="s">
        <v>44</v>
      </c>
      <c r="B6" s="18">
        <v>588200000</v>
      </c>
      <c r="C6" s="18">
        <v>530500000</v>
      </c>
      <c r="D6" s="18">
        <v>530800000</v>
      </c>
      <c r="E6" s="18">
        <v>251000000</v>
      </c>
      <c r="F6" s="8" t="s">
        <v>85</v>
      </c>
    </row>
    <row r="7" spans="1:6" x14ac:dyDescent="0.25">
      <c r="A7" t="s">
        <v>86</v>
      </c>
      <c r="B7" s="18">
        <v>17200000</v>
      </c>
      <c r="C7" s="18">
        <v>17800000</v>
      </c>
      <c r="D7" s="18">
        <v>18000000</v>
      </c>
      <c r="E7" s="18">
        <v>18200000</v>
      </c>
      <c r="F7" s="8" t="s">
        <v>87</v>
      </c>
    </row>
    <row r="8" spans="1:6" x14ac:dyDescent="0.25">
      <c r="A8" t="s">
        <v>88</v>
      </c>
      <c r="B8" s="18">
        <v>7300000</v>
      </c>
      <c r="C8" s="18">
        <v>6600000</v>
      </c>
      <c r="D8" s="18">
        <v>9500000</v>
      </c>
      <c r="E8" s="18">
        <v>11200000</v>
      </c>
      <c r="F8" s="8" t="s">
        <v>89</v>
      </c>
    </row>
    <row r="9" spans="1:6" x14ac:dyDescent="0.25">
      <c r="A9" t="s">
        <v>90</v>
      </c>
      <c r="B9" s="18">
        <v>70800000</v>
      </c>
      <c r="C9" s="18">
        <v>75300000</v>
      </c>
      <c r="D9" s="18">
        <v>106400000</v>
      </c>
      <c r="E9" s="18">
        <v>208900000</v>
      </c>
      <c r="F9" s="8" t="s">
        <v>91</v>
      </c>
    </row>
    <row r="10" spans="1:6" x14ac:dyDescent="0.25">
      <c r="A10" t="s">
        <v>92</v>
      </c>
      <c r="B10" s="18">
        <v>6429300000</v>
      </c>
      <c r="C10" s="18">
        <v>6106000000</v>
      </c>
      <c r="D10" s="18">
        <v>6127900000</v>
      </c>
      <c r="E10" s="18">
        <v>6115200000</v>
      </c>
      <c r="F10" s="8" t="s">
        <v>93</v>
      </c>
    </row>
    <row r="11" spans="1:6" x14ac:dyDescent="0.25">
      <c r="A11" t="s">
        <v>94</v>
      </c>
      <c r="B11" s="18">
        <v>981400000</v>
      </c>
      <c r="C11" s="18">
        <v>604800000</v>
      </c>
      <c r="D11" s="18">
        <v>627400000</v>
      </c>
      <c r="E11" s="18">
        <v>550000000</v>
      </c>
      <c r="F11" s="8" t="s">
        <v>95</v>
      </c>
    </row>
    <row r="12" spans="1:6" x14ac:dyDescent="0.25">
      <c r="A12" t="s">
        <v>32</v>
      </c>
      <c r="B12" s="34">
        <v>291865989</v>
      </c>
      <c r="C12" s="34">
        <v>293398709</v>
      </c>
      <c r="D12" s="34">
        <v>292011276</v>
      </c>
      <c r="E12" s="34">
        <v>289312915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