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<sst xmlns="http://schemas.openxmlformats.org/spreadsheetml/2006/main" count="113" uniqueCount="101">
  <si>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Indra Sistemas, S.A. (IDR.MC)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</si>
  <si>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</si>
  <si>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</si>
  <si>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</si>
  <si>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</si>
  <si>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</si>
  <si>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</si>
  <si>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</si>
  <si>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</si>
  <si>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</si>
  <si>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</si>
  <si>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</si>
  <si>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</si>
  <si>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</si>
  <si>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</si>
  <si>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</si>
  <si>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</si>
  <si>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</si>
  <si>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</si>
  <si>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</si>
  <si>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</si>
  <si>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</si>
  <si>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</si>
  <si>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</si>
  <si>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</si>
  <si>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</si>
  <si>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</si>
  <si>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</si>
  <si>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</si>
  <si>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</si>
  <si>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</si>
  <si>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</si>
  <si>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</si>
  <si>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</si>
  <si>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</si>
  <si>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</si>
  <si>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</si>
  <si>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</si>
  <si>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</si>
  <si>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</si>
  <si>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</si>
  <si>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</si>
  <si>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</si>
  <si>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</si>
  <si>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</si>
  <si>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</si>
  <si>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</si>
  <si>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</si>
  <si>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</si>
  <si>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</si>
  <si>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</si>
  <si>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</si>
  <si>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</si>
  <si>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</si>
  <si>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</si>
  <si>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</si>
  <si>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</si>
  <si>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</si>
  <si>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</si>
  <si>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</si>
  <si>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</si>
  <si>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</si>
  <si>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</si>
  <si>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</si>
  <si>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</si>
  <si>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</si>
  <si>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</si>
  <si>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</si>
  <si>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</si>
  <si>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</si>
  <si>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</si>
  <si>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</si>
  <si>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</si>
  <si>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</si>
  <si>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</si>
  <si>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</si>
  <si>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</si>
  <si>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</si>
  <si>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</si>
  <si>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</si>
  <si>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</si>
  <si>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</si>
  <si>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</si>
  <si>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</si>
  <si>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</si>
  <si>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</si>
  <si>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</si>
  <si>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</si>
  <si>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</si>
  <si>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</si>
  <si>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</si>
  <si>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</si>
  <si>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</si>
  <si>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</si>
  <si>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</si>
  <si>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</si>
  <si>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</si>
  <si>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</si>
  <si>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</si>
  <si>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Current EV/EBITDA of 20.3x sits outside a defensible 3-20x band, so the exit multiple is capped at 20.0x. A multiple that far out usually means EBITDA is the wrong denominator for this business.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</si>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</sst>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0.12314609888704009</v>
      </c>
    </row>
    <row r="7" spans="1:2" x14ac:dyDescent="0.25">
      <c r="A7" t="s">
        <v>5</v>
      </c>
      <c r="B7" s="6">
        <v>0.08797838926761155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0.023158999126258902</v>
      </c>
    </row>
    <row r="10" spans="1:2" x14ac:dyDescent="0.25">
      <c r="A10" t="s">
        <v>8</v>
      </c>
      <c r="B10" s="6">
        <v>0.019165165114461244</v>
      </c>
    </row>
    <row r="11" spans="1:2" x14ac:dyDescent="0.25">
      <c r="A11" t="s">
        <v>9</v>
      </c>
      <c r="B11" s="6">
        <v>-0.028648598077619273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0.12021065362636162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0.98727</v>
      </c>
      <c r="C19" s="8" t="s">
        <v>19</v>
      </c>
    </row>
    <row r="20" spans="1:2" x14ac:dyDescent="0.25">
      <c r="A20" t="s">
        <v>20</v>
      </c>
      <c r="B20" s="10">
        <f>B17+B19*B18</f>
        <v>0.10617255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10816072704</v>
      </c>
    </row>
    <row r="23" spans="1:2" x14ac:dyDescent="0.25">
      <c r="A23" t="s">
        <v>24</v>
      </c>
      <c r="B23" s="11">
        <v>3358242000</v>
      </c>
    </row>
    <row r="24" spans="1:2" x14ac:dyDescent="0.25">
      <c r="A24" t="s">
        <v>25</v>
      </c>
      <c r="B24" s="10">
        <f>B22/(B22+B23)</f>
        <v>0.7630755299194605</v>
      </c>
    </row>
    <row r="25" spans="1:2" x14ac:dyDescent="0.25">
      <c r="A25" t="s">
        <v>26</v>
      </c>
      <c r="B25" s="10">
        <f>1-B24</f>
        <v>0.23692447008053952</v>
      </c>
    </row>
    <row r="26" spans="1:2" x14ac:dyDescent="0.25">
      <c r="A26" t="s">
        <v>27</v>
      </c>
      <c r="B26" s="12">
        <f>B24*B20+B25*B21*(1-B8)</f>
        <v>0.08848079566168741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5456652000</v>
      </c>
      <c r="C29" s="8" t="s">
        <v>30</v>
      </c>
    </row>
    <row r="30" spans="1:2" x14ac:dyDescent="0.25">
      <c r="A30" t="s">
        <v>31</v>
      </c>
      <c r="B30" s="11">
        <v>2380130000</v>
      </c>
    </row>
    <row r="31" spans="1:2" x14ac:dyDescent="0.25">
      <c r="A31" t="s">
        <v>32</v>
      </c>
      <c r="B31" s="13">
        <v>175663615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0.12314609888704009</v>
      </c>
      <c r="C5" s="10">
        <f>Assumptions!B6</f>
        <v>0.12314609888704009</v>
      </c>
      <c r="D5" s="10">
        <f>Assumptions!B6</f>
        <v>0.12314609888704009</v>
      </c>
      <c r="E5" s="10">
        <f>Assumptions!B6</f>
        <v>0.12314609888704009</v>
      </c>
      <c r="F5" s="10">
        <f>Assumptions!B6</f>
        <v>0.12314609888704009</v>
      </c>
    </row>
    <row r="6" spans="1:6" x14ac:dyDescent="0.25">
      <c r="A6" t="s">
        <v>43</v>
      </c>
      <c r="B6" s="18">
        <f>Assumptions!B29*(1+B5)</f>
        <v>6128617406.784165</v>
      </c>
      <c r="C6" s="18">
        <f>B6*(1+C5)</f>
        <v>6883332732.000843</v>
      </c>
      <c r="D6" s="18">
        <f>C6*(1+D5)</f>
        <v>7730988305.2882185</v>
      </c>
      <c r="E6" s="18">
        <f>D6*(1+E5)</f>
        <v>8683029355.625792</v>
      </c>
      <c r="F6" s="18">
        <f>E6*(1+F5)</f>
        <v>9752310547.292757</v>
      </c>
    </row>
    <row r="7" spans="1:6" x14ac:dyDescent="0.25">
      <c r="A7" t="s">
        <v>5</v>
      </c>
      <c r="B7" s="10">
        <f>Assumptions!B7</f>
        <v>0.08797838926761155</v>
      </c>
      <c r="C7" s="10">
        <f>Assumptions!B7</f>
        <v>0.08797838926761155</v>
      </c>
      <c r="D7" s="10">
        <f>Assumptions!B7</f>
        <v>0.08797838926761155</v>
      </c>
      <c r="E7" s="10">
        <f>Assumptions!B7</f>
        <v>0.08797838926761155</v>
      </c>
      <c r="F7" s="10">
        <f>Assumptions!B7</f>
        <v>0.08797838926761155</v>
      </c>
    </row>
    <row r="8" spans="1:6" x14ac:dyDescent="0.25">
      <c r="A8" t="s">
        <v>44</v>
      </c>
      <c r="B8" s="18">
        <f>B6*B7</f>
        <v>539185887.8863174</v>
      </c>
      <c r="C8" s="18">
        <f>C6*C7</f>
        <v>605584526.5544622</v>
      </c>
      <c r="D8" s="18">
        <f>D6*D7</f>
        <v>680159898.5459994</v>
      </c>
      <c r="E8" s="18">
        <f>E6*E7</f>
        <v>763918936.6713442</v>
      </c>
      <c r="F8" s="18">
        <f>F6*F7</f>
        <v>857992573.588356</v>
      </c>
    </row>
    <row r="9" spans="1:6" x14ac:dyDescent="0.25">
      <c r="A9" t="s">
        <v>45</v>
      </c>
      <c r="B9" s="18">
        <f>B8*(1-Assumptions!B8)</f>
        <v>404389415.91473806</v>
      </c>
      <c r="C9" s="18">
        <f>C8*(1-Assumptions!B8)</f>
        <v>454188394.91584665</v>
      </c>
      <c r="D9" s="18">
        <f>D8*(1-Assumptions!B8)</f>
        <v>510119923.9094995</v>
      </c>
      <c r="E9" s="18">
        <f>E8*(1-Assumptions!B8)</f>
        <v>572939202.5035081</v>
      </c>
      <c r="F9" s="18">
        <f>F8*(1-Assumptions!B8)</f>
        <v>643494430.191267</v>
      </c>
    </row>
    <row r="10" spans="1:6" x14ac:dyDescent="0.25">
      <c r="A10" t="s">
        <v>46</v>
      </c>
      <c r="B10" s="18">
        <f>B6*Assumptions!B9</f>
        <v>141932645.16888958</v>
      </c>
      <c r="C10" s="18">
        <f>C6*Assumptions!B9</f>
        <v>159411096.72615683</v>
      </c>
      <c r="D10" s="18">
        <f>D6*Assumptions!B9</f>
        <v>179041951.40728766</v>
      </c>
      <c r="E10" s="18">
        <f>E6*Assumptions!B9</f>
        <v>201090269.2602181</v>
      </c>
      <c r="F10" s="18">
        <f>F6*Assumptions!B9</f>
        <v>225853751.44375843</v>
      </c>
    </row>
    <row r="11" spans="1:6" x14ac:dyDescent="0.25">
      <c r="A11" t="s">
        <v>47</v>
      </c>
      <c r="B11" s="18">
        <f>-B6*Assumptions!B10</f>
        <v>-117455964.52437982</v>
      </c>
      <c r="C11" s="18">
        <f>-C6*Assumptions!B10</f>
        <v>-131920208.34657176</v>
      </c>
      <c r="D11" s="18">
        <f>-D6*Assumptions!B10</f>
        <v>-148165667.36881763</v>
      </c>
      <c r="E11" s="18">
        <f>-E6*Assumptions!B10</f>
        <v>-166411691.29428232</v>
      </c>
      <c r="F11" s="18">
        <f>-F6*Assumptions!B10</f>
        <v>-186904641.8863676</v>
      </c>
    </row>
    <row r="12" spans="1:6" x14ac:dyDescent="0.25">
      <c r="A12" t="s">
        <v>48</v>
      </c>
      <c r="B12" s="18">
        <f>-(B6-Assumptions!B29)*Assumptions!B11</f>
        <v>19250866.861023493</v>
      </c>
      <c r="C12" s="18">
        <f>-(C6-B6)*Assumptions!B11</f>
        <v>21621536.015152317</v>
      </c>
      <c r="D12" s="18">
        <f>-(D6-C6)*Assumptions!B11</f>
        <v>24284143.827363968</v>
      </c>
      <c r="E12" s="18">
        <f>-(E6-D6)*Assumptions!B11</f>
        <v>27274641.404515628</v>
      </c>
      <c r="F12" s="18">
        <f>-(F6-E6)*Assumptions!B11</f>
        <v>30633407.092024673</v>
      </c>
    </row>
    <row r="13" spans="1:6" x14ac:dyDescent="0.25">
      <c r="A13" s="19" t="s">
        <v>49</v>
      </c>
      <c r="B13" s="20">
        <f>B9+B10+B11+B12</f>
        <v>448116963.42027134</v>
      </c>
      <c r="C13" s="20">
        <f>C9+C10+C11+C12</f>
        <v>503300819.3105841</v>
      </c>
      <c r="D13" s="20">
        <f>D9+D10+D11+D12</f>
        <v>565280351.7753336</v>
      </c>
      <c r="E13" s="20">
        <f>E9+E10+E11+E12</f>
        <v>634892421.8739595</v>
      </c>
      <c r="F13" s="20">
        <f>F9+F10+F11+F12</f>
        <v>713076946.8406826</v>
      </c>
    </row>
    <row r="14" spans="1:6" x14ac:dyDescent="0.25">
      <c r="A14" t="s">
        <v>50</v>
      </c>
      <c r="B14" s="21">
        <f>1/(1+Assumptions!$B$26)^(1-0.5*Assumptions!$B$32)</f>
        <v>0.9584944763693959</v>
      </c>
      <c r="C14" s="21">
        <f>1/(1+Assumptions!$B$26)^(2-0.5*Assumptions!$B$32)</f>
        <v>0.8805800526657221</v>
      </c>
      <c r="D14" s="21">
        <f>1/(1+Assumptions!$B$26)^(3-0.5*Assumptions!$B$32)</f>
        <v>0.8089991630310921</v>
      </c>
      <c r="E14" s="21">
        <f>1/(1+Assumptions!$B$26)^(4-0.5*Assumptions!$B$32)</f>
        <v>0.7432369650024937</v>
      </c>
      <c r="F14" s="21">
        <f>1/(1+Assumptions!$B$26)^(5-0.5*Assumptions!$B$32)</f>
        <v>0.6828204668054617</v>
      </c>
    </row>
    <row r="15" spans="1:6" x14ac:dyDescent="0.25">
      <c r="A15" s="19" t="s">
        <v>51</v>
      </c>
      <c r="B15" s="20">
        <f>B13*B14</f>
        <v>429517634.2057567</v>
      </c>
      <c r="C15" s="20">
        <f>C13*C14</f>
        <v>443196661.97521526</v>
      </c>
      <c r="D15" s="20">
        <f>D13*D14</f>
        <v>457311331.4641662</v>
      </c>
      <c r="E15" s="20">
        <f>E13*E14</f>
        <v>471875516.73668456</v>
      </c>
      <c r="F15" s="20">
        <f>F13*F14</f>
        <v>486903533.7099683</v>
      </c>
    </row>
    <row r="17" spans="1:2" x14ac:dyDescent="0.25">
      <c r="A17" s="22" t="s">
        <v>52</v>
      </c>
      <c r="B17" s="23">
        <f>SUM(B15:F15)</f>
        <v>2288804678.091791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713076946.8406826</v>
      </c>
    </row>
    <row r="5" spans="1:2" x14ac:dyDescent="0.25">
      <c r="A5" t="s">
        <v>56</v>
      </c>
      <c r="B5" s="18">
        <f>IF(Assumptions!$B$33=0,B4,B4-Forecast!F11-Forecast!F10-Forecast!F12)</f>
        <v>643494430.191267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0.20796825610569364</v>
      </c>
    </row>
    <row r="7" spans="1:2" x14ac:dyDescent="0.25">
      <c r="A7" t="s">
        <v>58</v>
      </c>
      <c r="B7" s="18">
        <f>-MAX(Forecast!F9,0)*B6</f>
        <v>-133826414.46060482</v>
      </c>
    </row>
    <row r="8" spans="1:2" x14ac:dyDescent="0.25">
      <c r="A8" t="s">
        <v>59</v>
      </c>
      <c r="B8" s="18">
        <f>IF(OR(Assumptions!$B$33=0,Assumptions!B12&lt;=0),B5,MAX(B5+B7,0))</f>
        <v>509668015.7306622</v>
      </c>
    </row>
    <row r="9" spans="1:2" x14ac:dyDescent="0.25">
      <c r="A9" t="s">
        <v>60</v>
      </c>
      <c r="B9" s="18">
        <f>B8*(1+Assumptions!B12)/(Assumptions!B26-Assumptions!B12)</f>
        <v>8229413489.207712</v>
      </c>
    </row>
    <row r="10" spans="1:2" x14ac:dyDescent="0.25">
      <c r="A10" t="s">
        <v>61</v>
      </c>
      <c r="B10" s="18">
        <f>B9/(1+Assumptions!B26)^(5-0.5*Assumptions!B32)</f>
        <v>5619211960.235973</v>
      </c>
    </row>
    <row r="11" spans="1:2" x14ac:dyDescent="0.25">
      <c r="A11" t="s">
        <v>62</v>
      </c>
      <c r="B11" s="18">
        <f>Forecast!B17+B10</f>
        <v>7908016638.3277645</v>
      </c>
    </row>
    <row r="12" spans="1:2" x14ac:dyDescent="0.25">
      <c r="A12" t="s">
        <v>63</v>
      </c>
      <c r="B12" s="18">
        <f>-Assumptions!B30</f>
        <v>-2380130000</v>
      </c>
    </row>
    <row r="13" spans="1:2" x14ac:dyDescent="0.25">
      <c r="A13" t="s">
        <v>64</v>
      </c>
      <c r="B13" s="18">
        <f>B11+B12</f>
        <v>5527886638.3277645</v>
      </c>
    </row>
    <row r="14" spans="1:2" x14ac:dyDescent="0.25">
      <c r="A14" s="19" t="s">
        <v>65</v>
      </c>
      <c r="B14" s="24">
        <f>B13/Assumptions!B31</f>
        <v>31.46859204922866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1083846325.0321145</v>
      </c>
    </row>
    <row r="18" spans="1:2" x14ac:dyDescent="0.25">
      <c r="A18" t="s">
        <v>60</v>
      </c>
      <c r="B18" s="18">
        <f>B17*Assumptions!B13</f>
        <v>21676926500.64229</v>
      </c>
    </row>
    <row r="19" spans="1:2" x14ac:dyDescent="0.25">
      <c r="A19" t="s">
        <v>61</v>
      </c>
      <c r="B19" s="18">
        <f>B18/(1+Assumptions!B26)^(5-0.5*Assumptions!B32)</f>
        <v>14801449072.07625</v>
      </c>
    </row>
    <row r="20" spans="1:2" x14ac:dyDescent="0.25">
      <c r="A20" t="s">
        <v>62</v>
      </c>
      <c r="B20" s="18">
        <f>Forecast!B17+B19</f>
        <v>17090253750.168041</v>
      </c>
    </row>
    <row r="21" spans="1:2" x14ac:dyDescent="0.25">
      <c r="A21" t="s">
        <v>63</v>
      </c>
      <c r="B21" s="18">
        <f>-Assumptions!B30</f>
        <v>-2380130000</v>
      </c>
    </row>
    <row r="22" spans="1:2" x14ac:dyDescent="0.25">
      <c r="A22" t="s">
        <v>64</v>
      </c>
      <c r="B22" s="18">
        <f>B20+B21</f>
        <v>14710123750.168041</v>
      </c>
    </row>
    <row r="23" spans="1:2" x14ac:dyDescent="0.25">
      <c r="A23" s="19" t="s">
        <v>65</v>
      </c>
      <c r="B23" s="25">
        <f>B22/Assumptions!B31</f>
        <v>83.7402996071101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61.8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31.46859204922866</v>
      </c>
    </row>
    <row r="29" spans="1:2" x14ac:dyDescent="0.25">
      <c r="A29" s="19" t="s">
        <v>73</v>
      </c>
      <c r="B29" s="12">
        <f>B28/B26-1</f>
        <v>-0.49079948140406693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0.068481</v>
      </c>
      <c r="B5" s="31">
        <v>45.28331248124579</v>
      </c>
      <c r="C5" s="31">
        <v>47.80728142356374</v>
      </c>
      <c r="D5" s="31">
        <v>50.885716680820664</v>
      </c>
      <c r="E5" s="31">
        <v>54.73475075279789</v>
      </c>
      <c r="F5" s="31">
        <v>59.69962369268393</v>
      </c>
    </row>
    <row r="6" spans="1:6" x14ac:dyDescent="0.25">
      <c r="A6" s="30">
        <v>0.078481</v>
      </c>
      <c r="B6" s="31">
        <v>36.280732865973164</v>
      </c>
      <c r="C6" s="31">
        <v>37.703901614600525</v>
      </c>
      <c r="D6" s="31">
        <v>39.3728992920199</v>
      </c>
      <c r="E6" s="31">
        <v>41.363785260288196</v>
      </c>
      <c r="F6" s="31">
        <v>43.78760398394703</v>
      </c>
    </row>
    <row r="7" spans="1:6" x14ac:dyDescent="0.25">
      <c r="A7" s="30">
        <v>0.088481</v>
      </c>
      <c r="B7" s="31">
        <v>29.719764821326503</v>
      </c>
      <c r="C7" s="31">
        <v>30.537867955456626</v>
      </c>
      <c r="D7" s="32">
        <v>31.468455790562988</v>
      </c>
      <c r="E7" s="31">
        <v>32.54037992827079</v>
      </c>
      <c r="F7" s="31">
        <v>33.793281447449544</v>
      </c>
    </row>
    <row r="8" spans="1:6" x14ac:dyDescent="0.25">
      <c r="A8" s="30">
        <v>0.098481</v>
      </c>
      <c r="B8" s="31">
        <v>24.723522372996396</v>
      </c>
      <c r="C8" s="31">
        <v>25.187128235319356</v>
      </c>
      <c r="D8" s="31">
        <v>25.700238255126216</v>
      </c>
      <c r="E8" s="31">
        <v>26.27369576651343</v>
      </c>
      <c r="F8" s="31">
        <v>26.921760349098605</v>
      </c>
    </row>
    <row r="9" spans="1:6" x14ac:dyDescent="0.25">
      <c r="A9" s="30">
        <v>0.108481</v>
      </c>
      <c r="B9" s="31">
        <v>20.79029804176997</v>
      </c>
      <c r="C9" s="31">
        <v>21.036831701463594</v>
      </c>
      <c r="D9" s="31">
        <v>21.30141486665524</v>
      </c>
      <c r="E9" s="31">
        <v>21.587497322419896</v>
      </c>
      <c r="F9" s="31">
        <v>21.899467813584057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5456652000</v>
      </c>
      <c r="C5" s="18">
        <v>4842857000</v>
      </c>
      <c r="D5" s="18">
        <v>4343072000</v>
      </c>
      <c r="E5" s="18">
        <v>3851390000</v>
      </c>
      <c r="F5" s="8" t="s">
        <v>84</v>
      </c>
    </row>
    <row r="6" spans="1:6" x14ac:dyDescent="0.25">
      <c r="A6" t="s">
        <v>44</v>
      </c>
      <c r="B6" s="18">
        <v>530220000</v>
      </c>
      <c r="C6" s="18">
        <v>446772000</v>
      </c>
      <c r="D6" s="18">
        <v>356120000</v>
      </c>
      <c r="E6" s="18">
        <v>310010000</v>
      </c>
      <c r="F6" s="8" t="s">
        <v>85</v>
      </c>
    </row>
    <row r="7" spans="1:6" x14ac:dyDescent="0.25">
      <c r="A7" t="s">
        <v>86</v>
      </c>
      <c r="B7" s="18">
        <v>119035000</v>
      </c>
      <c r="C7" s="18">
        <v>106950000</v>
      </c>
      <c r="D7" s="18">
        <v>99070000</v>
      </c>
      <c r="E7" s="18">
        <v>99852000</v>
      </c>
      <c r="F7" s="8" t="s">
        <v>87</v>
      </c>
    </row>
    <row r="8" spans="1:6" x14ac:dyDescent="0.25">
      <c r="A8" t="s">
        <v>88</v>
      </c>
      <c r="B8" s="18">
        <v>137781000</v>
      </c>
      <c r="C8" s="18">
        <v>111000000</v>
      </c>
      <c r="D8" s="18">
        <v>62707000</v>
      </c>
      <c r="E8" s="18">
        <v>54119000</v>
      </c>
      <c r="F8" s="8" t="s">
        <v>89</v>
      </c>
    </row>
    <row r="9" spans="1:6" x14ac:dyDescent="0.25">
      <c r="A9" t="s">
        <v>90</v>
      </c>
      <c r="B9" s="18">
        <v>-62736000</v>
      </c>
      <c r="C9" s="18">
        <v>5446000</v>
      </c>
      <c r="D9" s="18">
        <v>-14086000</v>
      </c>
      <c r="E9" s="18">
        <v>25393000</v>
      </c>
      <c r="F9" s="8" t="s">
        <v>91</v>
      </c>
    </row>
    <row r="10" spans="1:6" x14ac:dyDescent="0.25">
      <c r="A10" t="s">
        <v>92</v>
      </c>
      <c r="B10" s="18">
        <v>3358242000</v>
      </c>
      <c r="C10" s="18">
        <v>850874000</v>
      </c>
      <c r="D10" s="18">
        <v>1036543000</v>
      </c>
      <c r="E10" s="18">
        <v>1239291000</v>
      </c>
      <c r="F10" s="8" t="s">
        <v>93</v>
      </c>
    </row>
    <row r="11" spans="1:6" x14ac:dyDescent="0.25">
      <c r="A11" t="s">
        <v>94</v>
      </c>
      <c r="B11" s="18">
        <v>978112000</v>
      </c>
      <c r="C11" s="18">
        <v>556576000</v>
      </c>
      <c r="D11" s="18">
        <v>656290000</v>
      </c>
      <c r="E11" s="18">
        <v>974104000</v>
      </c>
      <c r="F11" s="8" t="s">
        <v>95</v>
      </c>
    </row>
    <row r="12" spans="1:6" x14ac:dyDescent="0.25">
      <c r="A12" t="s">
        <v>32</v>
      </c>
      <c r="B12" s="34">
        <v>175663615</v>
      </c>
      <c r="C12" s="34">
        <v>175672641</v>
      </c>
      <c r="D12" s="34">
        <v>188517020</v>
      </c>
      <c r="E12" s="34">
        <v>193215244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2026-09-19T01:06:05Z</dcterms:modified>
</cp:coreProperties>
</file>