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<sst xmlns="http://schemas.openxmlformats.org/spreadsheetml/2006/main" count="120" uniqueCount="107">
  <si>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IDEXX Laboratories, Inc. (IDXX)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</si>
  <si>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</si>
  <si>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</si>
  <si>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</si>
  <si>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</si>
  <si>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</si>
  <si>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</si>
  <si>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</si>
  <si>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</si>
  <si>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</si>
  <si>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</si>
  <si>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</si>
  <si>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</si>
  <si>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</si>
  <si>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</si>
  <si>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</si>
  <si>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</si>
  <si>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</si>
  <si>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</si>
  <si>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</si>
  <si>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</si>
  <si>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</si>
  <si>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</si>
  <si>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</si>
  <si>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35.0x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</si>
  <si>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</si>
  <si>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</si>
  <si>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</si>
  <si>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</si>
  <si>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</si>
  <si>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</si>
  <si>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</si>
  <si>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</si>
  <si>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</si>
  <si>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</si>
  <si>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</si>
  <si>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</si>
  <si>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</si>
  <si>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</si>
  <si>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</si>
  <si>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</si>
  <si>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</si>
  <si>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</si>
  <si>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</si>
  <si>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</si>
  <si>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</si>
  <si>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</si>
  <si>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</si>
  <si>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</si>
  <si>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</si>
  <si>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</si>
  <si>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</si>
  <si>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</si>
  <si>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</si>
  <si>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</si>
  <si>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</si>
  <si>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</si>
  <si>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</si>
  <si>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</si>
  <si>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</si>
  <si>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</si>
  <si>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</si>
  <si>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</si>
  <si>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</si>
  <si>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</si>
  <si>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</si>
  <si>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</si>
  <si>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</si>
  <si>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</si>
  <si>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</si>
  <si>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</si>
  <si>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</si>
  <si>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</si>
  <si>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</si>
  <si>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</si>
  <si>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</si>
  <si>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</si>
  <si>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</si>
  <si>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</si>
  <si>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</si>
  <si>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</si>
  <si>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</si>
  <si>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</si>
  <si>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</si>
  <si>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</si>
  <si>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</si>
  <si>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</si>
  <si>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</si>
  <si>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</si>
  <si>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</si>
  <si>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</si>
  <si>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</si>
  <si>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</si>
  <si>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</si>
  <si>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</si>
  <si>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</si>
  <si>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</si>
  <si>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</si>
  <si>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</si>
  <si>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</si>
  <si>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</si>
  <si>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</si>
  <si>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</si>
  <si>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</si>
  <si>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</si>
  <si>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29.4x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</si>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</sst>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0.09765501421799194</v>
      </c>
    </row>
    <row r="7" spans="1:2" x14ac:dyDescent="0.25">
      <c r="A7" t="s">
        <v>4</v>
      </c>
      <c r="B7" s="5">
        <v>0.2930270445204893</v>
      </c>
    </row>
    <row r="8" spans="1:2" x14ac:dyDescent="0.25">
      <c r="A8" t="s">
        <v>5</v>
      </c>
      <c r="B8" s="5">
        <v>0.201836027411107</v>
      </c>
    </row>
    <row r="9" spans="1:2" x14ac:dyDescent="0.25">
      <c r="A9" t="s">
        <v>6</v>
      </c>
      <c r="B9" s="5">
        <v>0.03292282401684196</v>
      </c>
    </row>
    <row r="10" spans="1:3" x14ac:dyDescent="0.25">
      <c r="A10" t="s">
        <v>7</v>
      </c>
      <c r="B10" s="5">
        <v>0.03734531598065485</v>
      </c>
      <c r="C10" s="6" t="s">
        <v>8</v>
      </c>
    </row>
    <row r="11" spans="1:2" x14ac:dyDescent="0.25">
      <c r="A11" t="s">
        <v>9</v>
      </c>
      <c r="B11" s="5">
        <v>0.19297149731299193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0.36610494238397717</v>
      </c>
      <c r="C14" s="6" t="s">
        <v>13</v>
      </c>
    </row>
    <row r="15" spans="1:3" x14ac:dyDescent="0.25">
      <c r="A15" t="s">
        <v>14</v>
      </c>
      <c r="B15" s="5">
        <v>0.03292282401684196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1.3671600000000002</v>
      </c>
      <c r="C19" s="6" t="s">
        <v>21</v>
      </c>
    </row>
    <row r="20" spans="1:2" x14ac:dyDescent="0.25">
      <c r="A20" t="s">
        <v>22</v>
      </c>
      <c r="B20" s="9">
        <f>B17+B19*B18</f>
        <v>0.106770868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43424944128</v>
      </c>
    </row>
    <row r="23" spans="1:2" x14ac:dyDescent="0.25">
      <c r="A23" t="s">
        <v>26</v>
      </c>
      <c r="B23" s="10">
        <v>976062000</v>
      </c>
    </row>
    <row r="24" spans="1:2" x14ac:dyDescent="0.25">
      <c r="A24" t="s">
        <v>27</v>
      </c>
      <c r="B24" s="9">
        <f>B22/(B22+B23)</f>
        <v>0.9780171197655704</v>
      </c>
    </row>
    <row r="25" spans="1:2" x14ac:dyDescent="0.25">
      <c r="A25" t="s">
        <v>28</v>
      </c>
      <c r="B25" s="9">
        <f>1-B24</f>
        <v>0.021982880234429625</v>
      </c>
    </row>
    <row r="26" spans="1:2" x14ac:dyDescent="0.25">
      <c r="A26" t="s">
        <v>29</v>
      </c>
      <c r="B26" s="11">
        <f>B24*B20+B25*B21*(1-B8)</f>
        <v>0.10535261901954238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4303702000</v>
      </c>
      <c r="C29" s="6" t="s">
        <v>32</v>
      </c>
    </row>
    <row r="30" spans="1:2" x14ac:dyDescent="0.25">
      <c r="A30" t="s">
        <v>33</v>
      </c>
      <c r="B30" s="10">
        <v>795992000</v>
      </c>
    </row>
    <row r="31" spans="1:2" x14ac:dyDescent="0.25">
      <c r="A31" t="s">
        <v>34</v>
      </c>
      <c r="B31" s="12">
        <v>81025000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0.09765501421799194</v>
      </c>
      <c r="C5" s="5">
        <v>0.08867698696985182</v>
      </c>
      <c r="D5" s="5">
        <v>0.08071736359862035</v>
      </c>
      <c r="E5" s="5">
        <v>0.07275774022738887</v>
      </c>
      <c r="F5" s="5">
        <v>0.06479811685615738</v>
      </c>
      <c r="G5" s="5">
        <v>0.05683849348492591</v>
      </c>
      <c r="H5" s="5">
        <v>0.048878870113694434</v>
      </c>
      <c r="I5" s="5">
        <v>0.04091924674246295</v>
      </c>
      <c r="J5" s="5">
        <v>0.03295962337123147</v>
      </c>
      <c r="K5" s="5">
        <v>0.024999999999999994</v>
      </c>
    </row>
    <row r="6" spans="1:11" x14ac:dyDescent="0.25">
      <c r="A6" t="s">
        <v>50</v>
      </c>
      <c r="B6" s="18">
        <f>Assumptions!B29*(1+B5)</f>
        <v>4723980080</v>
      </c>
      <c r="C6" s="18">
        <f>B6*(1+C5)</f>
        <v>5142888400</v>
      </c>
      <c r="D6" s="18">
        <f>C6*(1+D5)</f>
        <v>5558008792.929926</v>
      </c>
      <c r="E6" s="18">
        <f>D6*(1+E5)</f>
        <v>5962396952.867465</v>
      </c>
      <c r="F6" s="18">
        <f>E6*(1+F5)</f>
        <v>6348749047.362167</v>
      </c>
      <c r="G6" s="18">
        <f>F6*(1+G5)</f>
        <v>6709602378.728092</v>
      </c>
      <c r="H6" s="18">
        <f>G6*(1+H5)</f>
        <v>7037560161.9124775</v>
      </c>
      <c r="I6" s="18">
        <f>H6*(1+I5)</f>
        <v>7325531822.642702</v>
      </c>
      <c r="J6" s="18">
        <f>I6*(1+J5)</f>
        <v>7566978592.510977</v>
      </c>
      <c r="K6" s="18">
        <f>J6*(1+K5)</f>
        <v>7756153057.3237505</v>
      </c>
    </row>
    <row r="7" spans="1:11" x14ac:dyDescent="0.25">
      <c r="A7" t="s">
        <v>4</v>
      </c>
      <c r="B7" s="9">
        <f>Assumptions!B7</f>
        <v>0.2930270445204893</v>
      </c>
      <c r="C7" s="9">
        <f>Assumptions!B7</f>
        <v>0.2930270445204893</v>
      </c>
      <c r="D7" s="9">
        <f>Assumptions!B7</f>
        <v>0.2930270445204893</v>
      </c>
      <c r="E7" s="9">
        <f>Assumptions!B7</f>
        <v>0.2930270445204893</v>
      </c>
      <c r="F7" s="9">
        <f>Assumptions!B7</f>
        <v>0.2930270445204893</v>
      </c>
      <c r="G7" s="9">
        <f>Assumptions!B7</f>
        <v>0.2930270445204893</v>
      </c>
      <c r="H7" s="9">
        <f>Assumptions!B7</f>
        <v>0.2930270445204893</v>
      </c>
      <c r="I7" s="9">
        <f>Assumptions!B7</f>
        <v>0.2930270445204893</v>
      </c>
      <c r="J7" s="9">
        <f>Assumptions!B7</f>
        <v>0.2930270445204893</v>
      </c>
      <c r="K7" s="9">
        <f>Assumptions!B7</f>
        <v>0.2930270445204893</v>
      </c>
    </row>
    <row r="8" spans="1:11" x14ac:dyDescent="0.25">
      <c r="A8" t="s">
        <v>51</v>
      </c>
      <c r="B8" s="18">
        <f>B6*B7</f>
        <v>1384253921.2160645</v>
      </c>
      <c r="C8" s="18">
        <f>C6*C7</f>
        <v>1507005388.150708</v>
      </c>
      <c r="D8" s="18">
        <f>D6*D7</f>
        <v>1628646890.0111482</v>
      </c>
      <c r="E8" s="18">
        <f>E6*E7</f>
        <v>1747143557.3567243</v>
      </c>
      <c r="F8" s="18">
        <f>F6*F7</f>
        <v>1860355169.7508078</v>
      </c>
      <c r="G8" s="18">
        <f>G6*G7</f>
        <v>1966094954.9463375</v>
      </c>
      <c r="H8" s="18">
        <f>H6*H7</f>
        <v>2062195454.8803492</v>
      </c>
      <c r="I8" s="18">
        <f>I6*I7</f>
        <v>2146578939.529784</v>
      </c>
      <c r="J8" s="18">
        <f>J6*J7</f>
        <v>2217329372.9133034</v>
      </c>
      <c r="K8" s="18">
        <f>K6*K7</f>
        <v>2272762607.2361355</v>
      </c>
    </row>
    <row r="9" spans="1:11" x14ac:dyDescent="0.25">
      <c r="A9" t="s">
        <v>52</v>
      </c>
      <c r="B9" s="18">
        <f>B8*(1-Assumptions!B8)</f>
        <v>1104861608.8295665</v>
      </c>
      <c r="C9" s="18">
        <f>C8*(1-Assumptions!B8)</f>
        <v>1202837407.3192356</v>
      </c>
      <c r="D9" s="18">
        <f>D8*(1-Assumptions!B8)</f>
        <v>1299927271.6758437</v>
      </c>
      <c r="E9" s="18">
        <f>E8*(1-Assumptions!B8)</f>
        <v>1394507042.4229333</v>
      </c>
      <c r="F9" s="18">
        <f>F8*(1-Assumptions!B8)</f>
        <v>1484868472.7145889</v>
      </c>
      <c r="G9" s="18">
        <f>G8*(1-Assumptions!B8)</f>
        <v>1569266159.7269492</v>
      </c>
      <c r="H9" s="18">
        <f>H8*(1-Assumptions!B8)</f>
        <v>1645970116.5220585</v>
      </c>
      <c r="I9" s="18">
        <f>I8*(1-Assumptions!B8)</f>
        <v>1713321973.8507454</v>
      </c>
      <c r="J9" s="18">
        <f>J8*(1-Assumptions!B8)</f>
        <v>1769792420.822521</v>
      </c>
      <c r="K9" s="18">
        <f>K8*(1-Assumptions!B8)</f>
        <v>1814037231.3430836</v>
      </c>
    </row>
    <row r="10" spans="1:11" x14ac:dyDescent="0.25">
      <c r="A10" t="s">
        <v>53</v>
      </c>
      <c r="B10" s="18">
        <f>B6*Assumptions!B9</f>
        <v>155526764.83290702</v>
      </c>
      <c r="C10" s="18">
        <f>C6*Assumptions!B9</f>
        <v>169318409.73145792</v>
      </c>
      <c r="D10" s="18">
        <f>D6*Assumptions!B9</f>
        <v>182985345.37369215</v>
      </c>
      <c r="E10" s="18">
        <f>E6*Assumptions!B9</f>
        <v>196298945.5978103</v>
      </c>
      <c r="F10" s="18">
        <f>F6*Assumptions!B9</f>
        <v>209018747.6133977</v>
      </c>
      <c r="G10" s="18">
        <f>G6*Assumptions!B9</f>
        <v>220899058.3378492</v>
      </c>
      <c r="H10" s="18">
        <f>H6*Assumptions!B9</f>
        <v>231696354.71858233</v>
      </c>
      <c r="I10" s="18">
        <f>I6*Assumptions!B9</f>
        <v>241177195.02664122</v>
      </c>
      <c r="J10" s="18">
        <f>J6*Assumptions!B9</f>
        <v>249126304.54044938</v>
      </c>
      <c r="K10" s="18">
        <f>K6*Assumptions!B9</f>
        <v>255354462.1539606</v>
      </c>
    </row>
    <row r="11" spans="1:11" x14ac:dyDescent="0.25">
      <c r="A11" t="s">
        <v>54</v>
      </c>
      <c r="B11" s="18">
        <f>-B6*B19</f>
        <v>-176418528.7739192</v>
      </c>
      <c r="C11" s="18">
        <f>-C6*C19</f>
        <v>-198662024.72580567</v>
      </c>
      <c r="D11" s="18">
        <f>-D6*D19</f>
        <v>-221829404.622447</v>
      </c>
      <c r="E11" s="18">
        <f>-E6*E19</f>
        <v>-245620017.1246805</v>
      </c>
      <c r="F11" s="18">
        <f>-F6*F19</f>
        <v>-269682295.84350866</v>
      </c>
      <c r="G11" s="18">
        <f>-G6*G19</f>
        <v>-293620233.8389737</v>
      </c>
      <c r="H11" s="18">
        <f>-H6*H19</f>
        <v>-317002489.3379518</v>
      </c>
      <c r="I11" s="18">
        <f>-I6*I19</f>
        <v>-339373941.0461818</v>
      </c>
      <c r="J11" s="18">
        <f>-J6*J19</f>
        <v>-360269345.7206318</v>
      </c>
      <c r="K11" s="18">
        <f>-K6*K19</f>
        <v>-379228590.9440938</v>
      </c>
    </row>
    <row r="12" spans="1:11" x14ac:dyDescent="0.25">
      <c r="A12" t="s">
        <v>55</v>
      </c>
      <c r="B12" s="18">
        <f>-(B6-Assumptions!B29)*Assumptions!B11</f>
        <v>-81101690.38542941</v>
      </c>
      <c r="C12" s="18">
        <f>-(C6-B6)*Assumptions!B11</f>
        <v>-80837365.74726996</v>
      </c>
      <c r="D12" s="18">
        <f>-(D6-C6)*Assumptions!B11</f>
        <v>-80106403.78884536</v>
      </c>
      <c r="E12" s="18">
        <f>-(E6-D6)*Assumptions!B11</f>
        <v>-78035388.71879257</v>
      </c>
      <c r="F12" s="18">
        <f>-(F6-E6)*Assumptions!B11</f>
        <v>-74554942.16465326</v>
      </c>
      <c r="G12" s="18">
        <f>-(G6-F6)*Assumptions!B11</f>
        <v>-69634407.66406375</v>
      </c>
      <c r="H12" s="18">
        <f>-(H6-G6)*Assumptions!B11</f>
        <v>-63286504.476540394</v>
      </c>
      <c r="I12" s="18">
        <f>-(I6-H6)*Assumptions!B11</f>
        <v>-55570322.55482036</v>
      </c>
      <c r="J12" s="18">
        <f>-(J6-I6)*Assumptions!B11</f>
        <v>-46592344.70286635</v>
      </c>
      <c r="K12" s="18">
        <f>-(K6-J6)*Assumptions!B11</f>
        <v>-36505279.72830485</v>
      </c>
    </row>
    <row r="13" spans="1:11" x14ac:dyDescent="0.25">
      <c r="A13" s="19" t="s">
        <v>56</v>
      </c>
      <c r="B13" s="20">
        <f>B9+B10+B11+B12</f>
        <v>1002868154.503125</v>
      </c>
      <c r="C13" s="20">
        <f>C9+C10+C11+C12</f>
        <v>1092656426.577618</v>
      </c>
      <c r="D13" s="20">
        <f>D9+D10+D11+D12</f>
        <v>1180976808.6382434</v>
      </c>
      <c r="E13" s="20">
        <f>E9+E10+E11+E12</f>
        <v>1267150582.1772704</v>
      </c>
      <c r="F13" s="20">
        <f>F9+F10+F11+F12</f>
        <v>1349649982.3198245</v>
      </c>
      <c r="G13" s="20">
        <f>G9+G10+G11+G12</f>
        <v>1426910576.561761</v>
      </c>
      <c r="H13" s="20">
        <f>H9+H10+H11+H12</f>
        <v>1497377477.4261487</v>
      </c>
      <c r="I13" s="20">
        <f>I9+I10+I11+I12</f>
        <v>1559554905.2763846</v>
      </c>
      <c r="J13" s="20">
        <f>J9+J10+J11+J12</f>
        <v>1612057034.9394722</v>
      </c>
      <c r="K13" s="20">
        <f>K9+K10+K11+K12</f>
        <v>1653657822.8246455</v>
      </c>
    </row>
    <row r="14" spans="1:11" x14ac:dyDescent="0.25">
      <c r="A14" t="s">
        <v>57</v>
      </c>
      <c r="B14" s="21">
        <f>1/(1+Assumptions!$B$26)^(1-0.5*Assumptions!$B$32)</f>
        <v>0.9511512384156346</v>
      </c>
      <c r="C14" s="21">
        <f>1/(1+Assumptions!$B$26)^(2-0.5*Assumptions!$B$32)</f>
        <v>0.8604957567833096</v>
      </c>
      <c r="D14" s="21">
        <f>1/(1+Assumptions!$B$26)^(3-0.5*Assumptions!$B$32)</f>
        <v>0.7784807689211223</v>
      </c>
      <c r="E14" s="21">
        <f>1/(1+Assumptions!$B$26)^(4-0.5*Assumptions!$B$32)</f>
        <v>0.704282737948042</v>
      </c>
      <c r="F14" s="21">
        <f>1/(1+Assumptions!$B$26)^(5-0.5*Assumptions!$B$32)</f>
        <v>0.6371566193716056</v>
      </c>
      <c r="G14" s="21">
        <f>1/(1+Assumptions!$B$26)^(6-0.5*Assumptions!$B$32)</f>
        <v>0.5764283798746225</v>
      </c>
      <c r="H14" s="21">
        <f>1/(1+Assumptions!$B$26)^(7-0.5*Assumptions!$B$32)</f>
        <v>0.5214882291462064</v>
      </c>
      <c r="I14" s="21">
        <f>1/(1+Assumptions!$B$26)^(8-0.5*Assumptions!$B$32)</f>
        <v>0.4717844967959374</v>
      </c>
      <c r="J14" s="21">
        <f>1/(1+Assumptions!$B$26)^(9-0.5*Assumptions!$B$32)</f>
        <v>0.42681809286742767</v>
      </c>
      <c r="K14" s="21">
        <f>1/(1+Assumptions!$B$26)^(10-0.5*Assumptions!$B$32)</f>
        <v>0.3861374963276598</v>
      </c>
    </row>
    <row r="15" spans="1:11" x14ac:dyDescent="0.25">
      <c r="A15" s="19" t="s">
        <v>58</v>
      </c>
      <c r="B15" s="20">
        <f>B13*B14</f>
        <v>953879287.1232493</v>
      </c>
      <c r="C15" s="20">
        <f>C13*C14</f>
        <v>940226218.692054</v>
      </c>
      <c r="D15" s="20">
        <f>D13*D14</f>
        <v>919367734.0667129</v>
      </c>
      <c r="E15" s="20">
        <f>E13*E14</f>
        <v>892432281.4082633</v>
      </c>
      <c r="F15" s="20">
        <f>F13*F14</f>
        <v>859938420.0698466</v>
      </c>
      <c r="G15" s="20">
        <f>G13*G14</f>
        <v>822511751.8734593</v>
      </c>
      <c r="H15" s="20">
        <f>H13*H14</f>
        <v>780864729.066376</v>
      </c>
      <c r="I15" s="20">
        <f>I13*I14</f>
        <v>735773826.211455</v>
      </c>
      <c r="J15" s="20">
        <f>J13*J14</f>
        <v>688055109.2463857</v>
      </c>
      <c r="K15" s="20">
        <f>K13*K14</f>
        <v>638539291.4881575</v>
      </c>
    </row>
    <row r="17" spans="1:2" x14ac:dyDescent="0.25">
      <c r="A17" s="22" t="s">
        <v>59</v>
      </c>
      <c r="B17" s="23">
        <f>SUM(B15:K15)</f>
        <v>8231588649.245959</v>
      </c>
    </row>
    <row r="19" spans="1:11" x14ac:dyDescent="0.25">
      <c r="A19" t="s">
        <v>7</v>
      </c>
      <c r="B19" s="9">
        <f>Assumptions!$B$10+($B$20-Assumptions!$B$10)*0/9</f>
        <v>0.03734531598065485</v>
      </c>
      <c r="C19" s="9">
        <f>Assumptions!$B$10+($B$20-Assumptions!$B$10)*1/9</f>
        <v>0.03862849225462595</v>
      </c>
      <c r="D19" s="9">
        <f>Assumptions!$B$10+($B$20-Assumptions!$B$10)*2/9</f>
        <v>0.03991166852859705</v>
      </c>
      <c r="E19" s="9">
        <f>Assumptions!$B$10+($B$20-Assumptions!$B$10)*3/9</f>
        <v>0.04119484480256815</v>
      </c>
      <c r="F19" s="9">
        <f>Assumptions!$B$10+($B$20-Assumptions!$B$10)*4/9</f>
        <v>0.04247802107653925</v>
      </c>
      <c r="G19" s="9">
        <f>Assumptions!$B$10+($B$20-Assumptions!$B$10)*5/9</f>
        <v>0.043761197350510345</v>
      </c>
      <c r="H19" s="9">
        <f>Assumptions!$B$10+($B$20-Assumptions!$B$10)*6/9</f>
        <v>0.045044373624481444</v>
      </c>
      <c r="I19" s="9">
        <f>Assumptions!$B$10+($B$20-Assumptions!$B$10)*7/9</f>
        <v>0.046327549898452544</v>
      </c>
      <c r="J19" s="9">
        <f>Assumptions!$B$10+($B$20-Assumptions!$B$10)*8/9</f>
        <v>0.047610726172423644</v>
      </c>
      <c r="K19" s="9">
        <f>Assumptions!$B$10+($B$20-Assumptions!$B$10)*9/9</f>
        <v>0.048893902446394744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0.048893902446394744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1653657822.8246455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1814037231.3430836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0.06828643130903043</v>
      </c>
    </row>
    <row r="7" spans="1:2" x14ac:dyDescent="0.25">
      <c r="A7" t="s">
        <v>66</v>
      </c>
      <c r="B7" s="18">
        <f>-MAX(B5,0)*B6</f>
        <v>-123874128.79013324</v>
      </c>
    </row>
    <row r="8" spans="1:2" x14ac:dyDescent="0.25">
      <c r="A8" t="s">
        <v>67</v>
      </c>
      <c r="B8" s="18">
        <f>IF(OR(Assumptions!$B$33=0,Assumptions!B12&lt;=0),B5,MAX(B5+B7,0))</f>
        <v>1690163102.5529504</v>
      </c>
    </row>
    <row r="9" spans="1:2" x14ac:dyDescent="0.25">
      <c r="A9" t="s">
        <v>68</v>
      </c>
      <c r="B9" s="18">
        <f>B8*(1+Assumptions!B12)/(Assumptions!B26-Assumptions!B12)</f>
        <v>21560183118.55444</v>
      </c>
    </row>
    <row r="10" spans="1:2" x14ac:dyDescent="0.25">
      <c r="A10" t="s">
        <v>69</v>
      </c>
      <c r="B10" s="18">
        <f>B9/(1+Assumptions!B26)^(10-0.5*Assumptions!B32)</f>
        <v>8325195129.764488</v>
      </c>
    </row>
    <row r="11" spans="1:2" x14ac:dyDescent="0.25">
      <c r="A11" t="s">
        <v>70</v>
      </c>
      <c r="B11" s="18">
        <f>Forecast!B17+B10</f>
        <v>16556783779.010448</v>
      </c>
    </row>
    <row r="12" spans="1:2" x14ac:dyDescent="0.25">
      <c r="A12" t="s">
        <v>71</v>
      </c>
      <c r="B12" s="18">
        <f>-Assumptions!B30</f>
        <v>-795992000</v>
      </c>
    </row>
    <row r="13" spans="1:2" x14ac:dyDescent="0.25">
      <c r="A13" t="s">
        <v>72</v>
      </c>
      <c r="B13" s="18">
        <f>B11+B12</f>
        <v>15760791779.010448</v>
      </c>
    </row>
    <row r="14" spans="1:2" x14ac:dyDescent="0.25">
      <c r="A14" s="19" t="s">
        <v>73</v>
      </c>
      <c r="B14" s="24">
        <f>B13/Assumptions!B31</f>
        <v>194.5176399754452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2528117069.390096</v>
      </c>
    </row>
    <row r="18" spans="1:2" x14ac:dyDescent="0.25">
      <c r="A18" t="s">
        <v>68</v>
      </c>
      <c r="B18" s="18">
        <f>B17*Assumptions!B13</f>
        <v>50562341387.801926</v>
      </c>
    </row>
    <row r="19" spans="1:2" x14ac:dyDescent="0.25">
      <c r="A19" t="s">
        <v>69</v>
      </c>
      <c r="B19" s="18">
        <f>B18/(1+Assumptions!B26)^(10-0.5*Assumptions!B32)</f>
        <v>19524015911.95025</v>
      </c>
    </row>
    <row r="20" spans="1:2" x14ac:dyDescent="0.25">
      <c r="A20" t="s">
        <v>70</v>
      </c>
      <c r="B20" s="18">
        <f>Forecast!B17+B19</f>
        <v>27755604561.19621</v>
      </c>
    </row>
    <row r="21" spans="1:2" x14ac:dyDescent="0.25">
      <c r="A21" t="s">
        <v>71</v>
      </c>
      <c r="B21" s="18">
        <f>-Assumptions!B30</f>
        <v>-795992000</v>
      </c>
    </row>
    <row r="22" spans="1:2" x14ac:dyDescent="0.25">
      <c r="A22" t="s">
        <v>72</v>
      </c>
      <c r="B22" s="18">
        <f>B20+B21</f>
        <v>26959612561.19621</v>
      </c>
    </row>
    <row r="23" spans="1:2" x14ac:dyDescent="0.25">
      <c r="A23" s="19" t="s">
        <v>73</v>
      </c>
      <c r="B23" s="25">
        <f>B22/Assumptions!B31</f>
        <v>332.7320279073892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551.21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194.5176399754452</v>
      </c>
    </row>
    <row r="29" spans="1:2" x14ac:dyDescent="0.25">
      <c r="A29" s="19" t="s">
        <v>81</v>
      </c>
      <c r="B29" s="11">
        <f>B28/B26-1</f>
        <v>-0.6471079262432735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0.085353</v>
      </c>
      <c r="B5" s="31">
        <v>244.7579314870066</v>
      </c>
      <c r="C5" s="31">
        <v>253.41366195136328</v>
      </c>
      <c r="D5" s="31">
        <v>263.6114966601882</v>
      </c>
      <c r="E5" s="31">
        <v>275.76932739291567</v>
      </c>
      <c r="F5" s="31">
        <v>290.47103078765133</v>
      </c>
    </row>
    <row r="6" spans="1:6" x14ac:dyDescent="0.25">
      <c r="A6" s="30">
        <v>0.095353</v>
      </c>
      <c r="B6" s="31">
        <v>211.84330437591328</v>
      </c>
      <c r="C6" s="31">
        <v>217.53149698633285</v>
      </c>
      <c r="D6" s="31">
        <v>224.1158134092791</v>
      </c>
      <c r="E6" s="31">
        <v>231.80193444269418</v>
      </c>
      <c r="F6" s="31">
        <v>240.86370014684073</v>
      </c>
    </row>
    <row r="7" spans="1:6" x14ac:dyDescent="0.25">
      <c r="A7" s="30">
        <v>0.105353</v>
      </c>
      <c r="B7" s="31">
        <v>186.30950562962755</v>
      </c>
      <c r="C7" s="31">
        <v>190.1385007996609</v>
      </c>
      <c r="D7" s="32">
        <v>194.5166538329852</v>
      </c>
      <c r="E7" s="31">
        <v>199.5532817833257</v>
      </c>
      <c r="F7" s="31">
        <v>205.3887784328274</v>
      </c>
    </row>
    <row r="8" spans="1:6" x14ac:dyDescent="0.25">
      <c r="A8" s="30">
        <v>0.115353</v>
      </c>
      <c r="B8" s="31">
        <v>165.9437131322817</v>
      </c>
      <c r="C8" s="31">
        <v>168.55839365070275</v>
      </c>
      <c r="D8" s="31">
        <v>171.52368367650024</v>
      </c>
      <c r="E8" s="31">
        <v>174.9011995864934</v>
      </c>
      <c r="F8" s="31">
        <v>178.7678941797429</v>
      </c>
    </row>
    <row r="9" spans="1:6" x14ac:dyDescent="0.25">
      <c r="A9" s="30">
        <v>0.125353</v>
      </c>
      <c r="B9" s="31">
        <v>149.33569230208587</v>
      </c>
      <c r="C9" s="31">
        <v>151.13143864403224</v>
      </c>
      <c r="D9" s="31">
        <v>153.15841562897688</v>
      </c>
      <c r="E9" s="31">
        <v>155.45299819682714</v>
      </c>
      <c r="F9" s="31">
        <v>158.05961302675897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4303702000</v>
      </c>
      <c r="C5" s="18">
        <v>3897504000</v>
      </c>
      <c r="D5" s="18">
        <v>3660953000</v>
      </c>
      <c r="E5" s="18">
        <v>3367324000</v>
      </c>
      <c r="F5" s="6" t="s">
        <v>91</v>
      </c>
    </row>
    <row r="6" spans="1:6" x14ac:dyDescent="0.25">
      <c r="A6" t="s">
        <v>51</v>
      </c>
      <c r="B6" s="18">
        <v>1360031000</v>
      </c>
      <c r="C6" s="18">
        <v>1128337000</v>
      </c>
      <c r="D6" s="18">
        <v>1097128000</v>
      </c>
      <c r="E6" s="18">
        <v>898765000</v>
      </c>
      <c r="F6" s="6" t="s">
        <v>92</v>
      </c>
    </row>
    <row r="7" spans="1:6" x14ac:dyDescent="0.25">
      <c r="A7" t="s">
        <v>93</v>
      </c>
      <c r="B7" s="18">
        <v>145183000</v>
      </c>
      <c r="C7" s="18">
        <v>129936000</v>
      </c>
      <c r="D7" s="18">
        <v>114908000</v>
      </c>
      <c r="E7" s="18">
        <v>111900000</v>
      </c>
      <c r="F7" s="6" t="s">
        <v>94</v>
      </c>
    </row>
    <row r="8" spans="1:6" x14ac:dyDescent="0.25">
      <c r="A8" t="s">
        <v>95</v>
      </c>
      <c r="B8" s="18">
        <v>138226000</v>
      </c>
      <c r="C8" s="18">
        <v>130922000</v>
      </c>
      <c r="D8" s="18">
        <v>133631000</v>
      </c>
      <c r="E8" s="18">
        <v>158838000</v>
      </c>
      <c r="F8" s="6" t="s">
        <v>96</v>
      </c>
    </row>
    <row r="9" spans="1:6" x14ac:dyDescent="0.25">
      <c r="A9" t="s">
        <v>97</v>
      </c>
      <c r="B9" s="18">
        <v>227514000</v>
      </c>
      <c r="C9" s="18">
        <v>133238000</v>
      </c>
      <c r="D9" s="18">
        <v>72429000</v>
      </c>
      <c r="E9" s="18">
        <v>273530000</v>
      </c>
      <c r="F9" s="6" t="s">
        <v>98</v>
      </c>
    </row>
    <row r="10" spans="1:6" x14ac:dyDescent="0.25">
      <c r="A10" t="s">
        <v>99</v>
      </c>
      <c r="B10" s="18">
        <v>976062000</v>
      </c>
      <c r="C10" s="18">
        <v>986948000</v>
      </c>
      <c r="D10" s="18">
        <v>1067353000</v>
      </c>
      <c r="E10" s="18">
        <v>1470033000</v>
      </c>
      <c r="F10" s="6" t="s">
        <v>100</v>
      </c>
    </row>
    <row r="11" spans="1:6" x14ac:dyDescent="0.25">
      <c r="A11" t="s">
        <v>101</v>
      </c>
      <c r="B11" s="18">
        <v>180070000</v>
      </c>
      <c r="C11" s="18">
        <v>288266000</v>
      </c>
      <c r="D11" s="18">
        <v>453932000</v>
      </c>
      <c r="E11" s="18">
        <v>112546000</v>
      </c>
      <c r="F11" s="6" t="s">
        <v>102</v>
      </c>
    </row>
    <row r="12" spans="1:6" x14ac:dyDescent="0.25">
      <c r="A12" t="s">
        <v>34</v>
      </c>
      <c r="B12" s="34">
        <v>81025000</v>
      </c>
      <c r="C12" s="34">
        <v>83246000</v>
      </c>
      <c r="D12" s="34">
        <v>83978000</v>
      </c>
      <c r="E12" s="34">
        <v>84600000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