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<sst xmlns="http://schemas.openxmlformats.org/spreadsheetml/2006/main" count="119" uniqueCount="106">
  <si>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IDEX Corporation (IEX)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</si>
  <si>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</si>
  <si>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</si>
  <si>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</si>
  <si>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</si>
  <si>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</si>
  <si>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</si>
  <si>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</si>
  <si>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</si>
  <si>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</si>
  <si>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</si>
  <si>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</si>
  <si>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</si>
  <si>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</si>
  <si>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</si>
  <si>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</si>
  <si>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</si>
  <si>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</si>
  <si>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</si>
  <si>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</si>
  <si>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</si>
  <si>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</si>
  <si>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</si>
  <si>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</si>
  <si>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11.2x interest cover. Book interest / average debt was lower, at 3.4%.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</si>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</sst>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0.076384043383948</v>
      </c>
    </row>
    <row r="7" spans="1:2" x14ac:dyDescent="0.25">
      <c r="A7" t="s">
        <v>4</v>
      </c>
      <c r="B7" s="5">
        <v>0.22216030879684612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0.04938065991314899</v>
      </c>
    </row>
    <row r="10" spans="1:3" x14ac:dyDescent="0.25">
      <c r="A10" t="s">
        <v>7</v>
      </c>
      <c r="B10" s="5">
        <v>0.021785210764652136</v>
      </c>
      <c r="C10" s="6" t="s">
        <v>8</v>
      </c>
    </row>
    <row r="11" spans="1:2" x14ac:dyDescent="0.25">
      <c r="A11" t="s">
        <v>9</v>
      </c>
      <c r="B11" s="5">
        <v>0.20909210515139257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19.90804343227199</v>
      </c>
    </row>
    <row r="14" spans="1:3" x14ac:dyDescent="0.25">
      <c r="A14" t="s">
        <v>12</v>
      </c>
      <c r="B14" s="5">
        <v>0.10896174696147293</v>
      </c>
      <c r="C14" s="6" t="s">
        <v>13</v>
      </c>
    </row>
    <row r="15" spans="1:3" x14ac:dyDescent="0.25">
      <c r="A15" t="s">
        <v>14</v>
      </c>
      <c r="B15" s="5">
        <v>0.019071112640146447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0.9732</v>
      </c>
      <c r="C19" s="6" t="s">
        <v>21</v>
      </c>
    </row>
    <row r="20" spans="1:2" x14ac:dyDescent="0.25">
      <c r="A20" t="s">
        <v>22</v>
      </c>
      <c r="B20" s="9">
        <f>B17+B19*B18</f>
        <v>0.09010636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17176202240</v>
      </c>
    </row>
    <row r="23" spans="1:2" x14ac:dyDescent="0.25">
      <c r="A23" t="s">
        <v>26</v>
      </c>
      <c r="B23" s="10">
        <v>1848600000</v>
      </c>
    </row>
    <row r="24" spans="1:2" x14ac:dyDescent="0.25">
      <c r="A24" t="s">
        <v>27</v>
      </c>
      <c r="B24" s="9">
        <f>B22/(B22+B23)</f>
        <v>0.9028321042878814</v>
      </c>
    </row>
    <row r="25" spans="1:2" x14ac:dyDescent="0.25">
      <c r="A25" t="s">
        <v>28</v>
      </c>
      <c r="B25" s="9">
        <f>1-B24</f>
        <v>0.09716789571211859</v>
      </c>
    </row>
    <row r="26" spans="1:2" x14ac:dyDescent="0.25">
      <c r="A26" t="s">
        <v>29</v>
      </c>
      <c r="B26" s="11">
        <f>B24*B20+B25*B21*(1-B8)</f>
        <v>0.08541472864373104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3457500000</v>
      </c>
      <c r="C29" s="6" t="s">
        <v>32</v>
      </c>
    </row>
    <row r="30" spans="1:2" x14ac:dyDescent="0.25">
      <c r="A30" t="s">
        <v>33</v>
      </c>
      <c r="B30" s="10">
        <v>1268600000</v>
      </c>
    </row>
    <row r="31" spans="1:2" x14ac:dyDescent="0.25">
      <c r="A31" t="s">
        <v>34</v>
      </c>
      <c r="B31" s="12">
        <v>75300000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0.076384043383948</v>
      </c>
      <c r="C5" s="5">
        <v>0.05988266335591663</v>
      </c>
      <c r="D5" s="5">
        <v>0.055522330436427056</v>
      </c>
      <c r="E5" s="5">
        <v>0.05116199751693747</v>
      </c>
      <c r="F5" s="5">
        <v>0.046801664597447896</v>
      </c>
      <c r="G5" s="5">
        <v>0.04244133167795831</v>
      </c>
      <c r="H5" s="5">
        <v>0.03808099875846874</v>
      </c>
      <c r="I5" s="5">
        <v>0.03372066583897916</v>
      </c>
      <c r="J5" s="5">
        <v>0.02936033291948958</v>
      </c>
      <c r="K5" s="5">
        <v>0.025</v>
      </c>
    </row>
    <row r="6" spans="1:11" x14ac:dyDescent="0.25">
      <c r="A6" t="s">
        <v>50</v>
      </c>
      <c r="B6" s="18">
        <f>Assumptions!B29*(1+B5)</f>
        <v>3721597830</v>
      </c>
      <c r="C6" s="18">
        <f>B6*(1+C5)</f>
        <v>3944457020</v>
      </c>
      <c r="D6" s="18">
        <f>C6*(1+D5)</f>
        <v>4163462466.056724</v>
      </c>
      <c r="E6" s="18">
        <f>D6*(1+E5)</f>
        <v>4376473522.4069805</v>
      </c>
      <c r="F6" s="18">
        <f>E6*(1+F5)</f>
        <v>4581299768.322283</v>
      </c>
      <c r="G6" s="18">
        <f>F6*(1+G5)</f>
        <v>4775736231.305802</v>
      </c>
      <c r="H6" s="18">
        <f>G6*(1+H5)</f>
        <v>4957601036.800933</v>
      </c>
      <c r="I6" s="18">
        <f>H6*(1+I5)</f>
        <v>5124774644.725874</v>
      </c>
      <c r="J6" s="18">
        <f>I6*(1+J5)</f>
        <v>5275239734.4323845</v>
      </c>
      <c r="K6" s="18">
        <f>J6*(1+K5)</f>
        <v>5407120727.793194</v>
      </c>
    </row>
    <row r="7" spans="1:11" x14ac:dyDescent="0.25">
      <c r="A7" t="s">
        <v>4</v>
      </c>
      <c r="B7" s="9">
        <f>Assumptions!B7</f>
        <v>0.22216030879684612</v>
      </c>
      <c r="C7" s="9">
        <f>Assumptions!B7</f>
        <v>0.22216030879684612</v>
      </c>
      <c r="D7" s="9">
        <f>Assumptions!B7</f>
        <v>0.22216030879684612</v>
      </c>
      <c r="E7" s="9">
        <f>Assumptions!B7</f>
        <v>0.22216030879684612</v>
      </c>
      <c r="F7" s="9">
        <f>Assumptions!B7</f>
        <v>0.22216030879684612</v>
      </c>
      <c r="G7" s="9">
        <f>Assumptions!B7</f>
        <v>0.22216030879684612</v>
      </c>
      <c r="H7" s="9">
        <f>Assumptions!B7</f>
        <v>0.22216030879684612</v>
      </c>
      <c r="I7" s="9">
        <f>Assumptions!B7</f>
        <v>0.22216030879684612</v>
      </c>
      <c r="J7" s="9">
        <f>Assumptions!B7</f>
        <v>0.22216030879684612</v>
      </c>
      <c r="K7" s="9">
        <f>Assumptions!B7</f>
        <v>0.22216030879684612</v>
      </c>
    </row>
    <row r="8" spans="1:11" x14ac:dyDescent="0.25">
      <c r="A8" t="s">
        <v>51</v>
      </c>
      <c r="B8" s="18">
        <f>B6*B7</f>
        <v>826791323.1304724</v>
      </c>
      <c r="C8" s="18">
        <f>C6*C7</f>
        <v>876301789.5990875</v>
      </c>
      <c r="D8" s="18">
        <f>D6*D7</f>
        <v>924956107.1232402</v>
      </c>
      <c r="E8" s="18">
        <f>E6*E7</f>
        <v>972278709.1791556</v>
      </c>
      <c r="F8" s="18">
        <f>F6*F7</f>
        <v>1017782971.2213979</v>
      </c>
      <c r="G8" s="18">
        <f>G6*G7</f>
        <v>1060979035.8791832</v>
      </c>
      <c r="H8" s="18">
        <f>H6*H7</f>
        <v>1101382177.2272596</v>
      </c>
      <c r="I8" s="18">
        <f>I6*I7</f>
        <v>1138521517.5865476</v>
      </c>
      <c r="J8" s="18">
        <f>J6*J7</f>
        <v>1171948888.378891</v>
      </c>
      <c r="K8" s="18">
        <f>K6*K7</f>
        <v>1201247610.5883632</v>
      </c>
    </row>
    <row r="9" spans="1:11" x14ac:dyDescent="0.25">
      <c r="A9" t="s">
        <v>52</v>
      </c>
      <c r="B9" s="18">
        <f>B8*(1-Assumptions!B8)</f>
        <v>653165145.2730732</v>
      </c>
      <c r="C9" s="18">
        <f>C8*(1-Assumptions!B8)</f>
        <v>692278413.7832792</v>
      </c>
      <c r="D9" s="18">
        <f>D8*(1-Assumptions!B8)</f>
        <v>730715324.6273599</v>
      </c>
      <c r="E9" s="18">
        <f>E8*(1-Assumptions!B8)</f>
        <v>768100180.2515329</v>
      </c>
      <c r="F9" s="18">
        <f>F8*(1-Assumptions!B8)</f>
        <v>804048547.2649044</v>
      </c>
      <c r="G9" s="18">
        <f>G8*(1-Assumptions!B8)</f>
        <v>838173438.3445548</v>
      </c>
      <c r="H9" s="18">
        <f>H8*(1-Assumptions!B8)</f>
        <v>870091920.0095352</v>
      </c>
      <c r="I9" s="18">
        <f>I8*(1-Assumptions!B8)</f>
        <v>899431998.8933727</v>
      </c>
      <c r="J9" s="18">
        <f>J8*(1-Assumptions!B8)</f>
        <v>925839621.8193239</v>
      </c>
      <c r="K9" s="18">
        <f>K8*(1-Assumptions!B8)</f>
        <v>948985612.3648069</v>
      </c>
    </row>
    <row r="10" spans="1:11" x14ac:dyDescent="0.25">
      <c r="A10" t="s">
        <v>53</v>
      </c>
      <c r="B10" s="18">
        <f>B6*Assumptions!B9</f>
        <v>183774956.77674326</v>
      </c>
      <c r="C10" s="18">
        <f>C6*Assumptions!B9</f>
        <v>194779890.64665312</v>
      </c>
      <c r="D10" s="18">
        <f>D6*Assumptions!B9</f>
        <v>205594524.09750772</v>
      </c>
      <c r="E10" s="18">
        <f>E6*Assumptions!B9</f>
        <v>216113150.62888032</v>
      </c>
      <c r="F10" s="18">
        <f>F6*Assumptions!B9</f>
        <v>226227605.81971088</v>
      </c>
      <c r="G10" s="18">
        <f>G6*Assumptions!B9</f>
        <v>235829006.67301565</v>
      </c>
      <c r="H10" s="18">
        <f>H6*Assumptions!B9</f>
        <v>244809610.78334168</v>
      </c>
      <c r="I10" s="18">
        <f>I6*Assumptions!B9</f>
        <v>253064753.8627373</v>
      </c>
      <c r="J10" s="18">
        <f>J6*Assumptions!B9</f>
        <v>260494819.28633595</v>
      </c>
      <c r="K10" s="18">
        <f>K6*Assumptions!B9</f>
        <v>267007189.76849434</v>
      </c>
    </row>
    <row r="11" spans="1:11" x14ac:dyDescent="0.25">
      <c r="A11" t="s">
        <v>54</v>
      </c>
      <c r="B11" s="18">
        <f>-B6*B19</f>
        <v>-81075793.10782203</v>
      </c>
      <c r="C11" s="18">
        <f>-C6*C19</f>
        <v>-104797448.87974696</v>
      </c>
      <c r="D11" s="18">
        <f>-D6*D19</f>
        <v>-130530187.59692156</v>
      </c>
      <c r="E11" s="18">
        <f>-E6*E19</f>
        <v>-158141360.05018315</v>
      </c>
      <c r="F11" s="18">
        <f>-F6*F19</f>
        <v>-187455324.91333047</v>
      </c>
      <c r="G11" s="18">
        <f>-G6*G19</f>
        <v>-218253868.07712513</v>
      </c>
      <c r="H11" s="18">
        <f>-H6*H19</f>
        <v>-250277755.33292806</v>
      </c>
      <c r="I11" s="18">
        <f>-I6*I19</f>
        <v>-283229453.24256307</v>
      </c>
      <c r="J11" s="18">
        <f>-J6*J19</f>
        <v>-316777014.9728972</v>
      </c>
      <c r="K11" s="18">
        <f>-K6*K19</f>
        <v>-350559087.3050103</v>
      </c>
    </row>
    <row r="12" spans="1:11" x14ac:dyDescent="0.25">
      <c r="A12" t="s">
        <v>55</v>
      </c>
      <c r="B12" s="18">
        <f>-(B6-Assumptions!B29)*Assumptions!B11</f>
        <v>-55220771.2406146</v>
      </c>
      <c r="C12" s="18">
        <f>-(C6-B6)*Assumptions!B11</f>
        <v>-46598097.18943418</v>
      </c>
      <c r="D12" s="18">
        <f>-(D6-C6)*Assumptions!B11</f>
        <v>-45792309.75562018</v>
      </c>
      <c r="E12" s="18">
        <f>-(E6-D6)*Assumptions!B11</f>
        <v>-44538930.19279703</v>
      </c>
      <c r="F12" s="18">
        <f>-(F6-E6)*Assumptions!B11</f>
        <v>-42827550.948687375</v>
      </c>
      <c r="G12" s="18">
        <f>-(G6-F6)*Assumptions!B11</f>
        <v>-40655129.36341492</v>
      </c>
      <c r="H12" s="18">
        <f>-(H6-G6)*Assumptions!B11</f>
        <v>-38026495.03392539</v>
      </c>
      <c r="I12" s="18">
        <f>-(I6-H6)*Assumptions!B11</f>
        <v>-34954681.60677945</v>
      </c>
      <c r="J12" s="18">
        <f>-(J6-I6)*Assumptions!B11</f>
        <v>-31461062.35852742</v>
      </c>
      <c r="K12" s="18">
        <f>-(K6-J6)*Assumptions!B11</f>
        <v>-27575274.531268448</v>
      </c>
    </row>
    <row r="13" spans="1:11" x14ac:dyDescent="0.25">
      <c r="A13" s="19" t="s">
        <v>56</v>
      </c>
      <c r="B13" s="20">
        <f>B9+B10+B11+B12</f>
        <v>700643537.7013798</v>
      </c>
      <c r="C13" s="20">
        <f>C9+C10+C11+C12</f>
        <v>735662758.3607513</v>
      </c>
      <c r="D13" s="20">
        <f>D9+D10+D11+D12</f>
        <v>759987351.3723259</v>
      </c>
      <c r="E13" s="20">
        <f>E9+E10+E11+E12</f>
        <v>781533040.637433</v>
      </c>
      <c r="F13" s="20">
        <f>F9+F10+F11+F12</f>
        <v>799993277.2225974</v>
      </c>
      <c r="G13" s="20">
        <f>G9+G10+G11+G12</f>
        <v>815093447.5770305</v>
      </c>
      <c r="H13" s="20">
        <f>H9+H10+H11+H12</f>
        <v>826597280.4260235</v>
      </c>
      <c r="I13" s="20">
        <f>I9+I10+I11+I12</f>
        <v>834312617.9067675</v>
      </c>
      <c r="J13" s="20">
        <f>J9+J10+J11+J12</f>
        <v>838096363.7742354</v>
      </c>
      <c r="K13" s="20">
        <f>K9+K10+K11+K12</f>
        <v>837858440.2970225</v>
      </c>
    </row>
    <row r="14" spans="1:11" x14ac:dyDescent="0.25">
      <c r="A14" t="s">
        <v>57</v>
      </c>
      <c r="B14" s="21">
        <f>1/(1+Assumptions!$B$26)^(1-0.5*Assumptions!$B$32)</f>
        <v>0.9598472937633012</v>
      </c>
      <c r="C14" s="21">
        <f>1/(1+Assumptions!$B$26)^(2-0.5*Assumptions!$B$32)</f>
        <v>0.8843138649524948</v>
      </c>
      <c r="D14" s="21">
        <f>1/(1+Assumptions!$B$26)^(3-0.5*Assumptions!$B$32)</f>
        <v>0.8147244012963416</v>
      </c>
      <c r="E14" s="21">
        <f>1/(1+Assumptions!$B$26)^(4-0.5*Assumptions!$B$32)</f>
        <v>0.7506111533186695</v>
      </c>
      <c r="F14" s="21">
        <f>1/(1+Assumptions!$B$26)^(5-0.5*Assumptions!$B$32)</f>
        <v>0.6915431802335943</v>
      </c>
      <c r="G14" s="21">
        <f>1/(1+Assumptions!$B$26)^(6-0.5*Assumptions!$B$32)</f>
        <v>0.6371234533528994</v>
      </c>
      <c r="H14" s="21">
        <f>1/(1+Assumptions!$B$26)^(7-0.5*Assumptions!$B$32)</f>
        <v>0.5869861874354798</v>
      </c>
      <c r="I14" s="21">
        <f>1/(1+Assumptions!$B$26)^(8-0.5*Assumptions!$B$32)</f>
        <v>0.5407943820413627</v>
      </c>
      <c r="J14" s="21">
        <f>1/(1+Assumptions!$B$26)^(9-0.5*Assumptions!$B$32)</f>
        <v>0.49823755636438316</v>
      </c>
      <c r="K14" s="21">
        <f>1/(1+Assumptions!$B$26)^(10-0.5*Assumptions!$B$32)</f>
        <v>0.45902966231806236</v>
      </c>
    </row>
    <row r="15" spans="1:11" x14ac:dyDescent="0.25">
      <c r="A15" s="19" t="s">
        <v>58</v>
      </c>
      <c r="B15" s="20">
        <f>B13*B14</f>
        <v>672510803.5554149</v>
      </c>
      <c r="C15" s="20">
        <f>C13*C14</f>
        <v>650556777.1476092</v>
      </c>
      <c r="D15" s="20">
        <f>D13*D14</f>
        <v>619180239.8396106</v>
      </c>
      <c r="E15" s="20">
        <f>E13*E14</f>
        <v>586627416.9895102</v>
      </c>
      <c r="F15" s="20">
        <f>F13*F14</f>
        <v>553229895.0960104</v>
      </c>
      <c r="G15" s="20">
        <f>G13*G14</f>
        <v>519315152.1255982</v>
      </c>
      <c r="H15" s="20">
        <f>H13*H14</f>
        <v>485201186.1818077</v>
      </c>
      <c r="I15" s="20">
        <f>I13*I14</f>
        <v>451191576.6302018</v>
      </c>
      <c r="J15" s="20">
        <f>J13*J14</f>
        <v>417571084.28475016</v>
      </c>
      <c r="K15" s="20">
        <f>K13*K14</f>
        <v>384601876.9198806</v>
      </c>
    </row>
    <row r="17" spans="1:2" x14ac:dyDescent="0.25">
      <c r="A17" s="22" t="s">
        <v>59</v>
      </c>
      <c r="B17" s="23">
        <f>SUM(B15:K15)</f>
        <v>5339986008.770394</v>
      </c>
    </row>
    <row r="19" spans="1:11" x14ac:dyDescent="0.25">
      <c r="A19" t="s">
        <v>7</v>
      </c>
      <c r="B19" s="9">
        <f>Assumptions!$B$10+($B$20-Assumptions!$B$10)*0/9</f>
        <v>0.021785210764652136</v>
      </c>
      <c r="C19" s="9">
        <f>Assumptions!$B$10+($B$20-Assumptions!$B$10)*1/9</f>
        <v>0.02656828261745059</v>
      </c>
      <c r="D19" s="9">
        <f>Assumptions!$B$10+($B$20-Assumptions!$B$10)*2/9</f>
        <v>0.03135135447024904</v>
      </c>
      <c r="E19" s="9">
        <f>Assumptions!$B$10+($B$20-Assumptions!$B$10)*3/9</f>
        <v>0.03613442632304749</v>
      </c>
      <c r="F19" s="9">
        <f>Assumptions!$B$10+($B$20-Assumptions!$B$10)*4/9</f>
        <v>0.040917498175845946</v>
      </c>
      <c r="G19" s="9">
        <f>Assumptions!$B$10+($B$20-Assumptions!$B$10)*5/9</f>
        <v>0.0457005700286444</v>
      </c>
      <c r="H19" s="9">
        <f>Assumptions!$B$10+($B$20-Assumptions!$B$10)*6/9</f>
        <v>0.050483641881442845</v>
      </c>
      <c r="I19" s="9">
        <f>Assumptions!$B$10+($B$20-Assumptions!$B$10)*7/9</f>
        <v>0.0552667137342413</v>
      </c>
      <c r="J19" s="9">
        <f>Assumptions!$B$10+($B$20-Assumptions!$B$10)*8/9</f>
        <v>0.060049785587039745</v>
      </c>
      <c r="K19" s="9">
        <f>Assumptions!$B$10+($B$20-Assumptions!$B$10)*9/9</f>
        <v>0.0648328574398382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0.0648328574398382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837858440.2970225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1078456643.599612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0.22943831846638424</v>
      </c>
    </row>
    <row r="7" spans="1:2" x14ac:dyDescent="0.25">
      <c r="A7" t="s">
        <v>66</v>
      </c>
      <c r="B7" s="18">
        <f>-MAX(B5,0)*B6</f>
        <v>-247439278.8463956</v>
      </c>
    </row>
    <row r="8" spans="1:2" x14ac:dyDescent="0.25">
      <c r="A8" t="s">
        <v>67</v>
      </c>
      <c r="B8" s="18">
        <f>IF(OR(Assumptions!$B$33=0,Assumptions!B12&lt;=0),B5,MAX(B5+B7,0))</f>
        <v>831017364.7532164</v>
      </c>
    </row>
    <row r="9" spans="1:2" x14ac:dyDescent="0.25">
      <c r="A9" t="s">
        <v>68</v>
      </c>
      <c r="B9" s="18">
        <f>B8*(1+Assumptions!B12)/(Assumptions!B26-Assumptions!B12)</f>
        <v>14099091694.926174</v>
      </c>
    </row>
    <row r="10" spans="1:2" x14ac:dyDescent="0.25">
      <c r="A10" t="s">
        <v>69</v>
      </c>
      <c r="B10" s="18">
        <f>B9/(1+Assumptions!B26)^(10-0.5*Assumptions!B32)</f>
        <v>6471901299.713359</v>
      </c>
    </row>
    <row r="11" spans="1:2" x14ac:dyDescent="0.25">
      <c r="A11" t="s">
        <v>70</v>
      </c>
      <c r="B11" s="18">
        <f>Forecast!B17+B10</f>
        <v>11811887308.483753</v>
      </c>
    </row>
    <row r="12" spans="1:2" x14ac:dyDescent="0.25">
      <c r="A12" t="s">
        <v>71</v>
      </c>
      <c r="B12" s="18">
        <f>-Assumptions!B30</f>
        <v>-1268600000</v>
      </c>
    </row>
    <row r="13" spans="1:2" x14ac:dyDescent="0.25">
      <c r="A13" t="s">
        <v>72</v>
      </c>
      <c r="B13" s="18">
        <f>B11+B12</f>
        <v>10543287308.483753</v>
      </c>
    </row>
    <row r="14" spans="1:2" x14ac:dyDescent="0.25">
      <c r="A14" s="19" t="s">
        <v>73</v>
      </c>
      <c r="B14" s="24">
        <f>B13/Assumptions!B31</f>
        <v>140.01709573019593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1468254800.3568575</v>
      </c>
    </row>
    <row r="18" spans="1:2" x14ac:dyDescent="0.25">
      <c r="A18" t="s">
        <v>68</v>
      </c>
      <c r="B18" s="18">
        <f>B17*Assumptions!B13</f>
        <v>29230080335.146164</v>
      </c>
    </row>
    <row r="19" spans="1:2" x14ac:dyDescent="0.25">
      <c r="A19" t="s">
        <v>69</v>
      </c>
      <c r="B19" s="18">
        <f>B18/(1+Assumptions!B26)^(10-0.5*Assumptions!B32)</f>
        <v>13417473905.771978</v>
      </c>
    </row>
    <row r="20" spans="1:2" x14ac:dyDescent="0.25">
      <c r="A20" t="s">
        <v>70</v>
      </c>
      <c r="B20" s="18">
        <f>Forecast!B17+B19</f>
        <v>18757459914.542374</v>
      </c>
    </row>
    <row r="21" spans="1:2" x14ac:dyDescent="0.25">
      <c r="A21" t="s">
        <v>71</v>
      </c>
      <c r="B21" s="18">
        <f>-Assumptions!B30</f>
        <v>-1268600000</v>
      </c>
    </row>
    <row r="22" spans="1:2" x14ac:dyDescent="0.25">
      <c r="A22" t="s">
        <v>72</v>
      </c>
      <c r="B22" s="18">
        <f>B20+B21</f>
        <v>17488859914.542374</v>
      </c>
    </row>
    <row r="23" spans="1:2" x14ac:dyDescent="0.25">
      <c r="A23" s="19" t="s">
        <v>73</v>
      </c>
      <c r="B23" s="25">
        <f>B22/Assumptions!B31</f>
        <v>232.25577575753485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233.84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140.01709573019593</v>
      </c>
    </row>
    <row r="29" spans="1:2" x14ac:dyDescent="0.25">
      <c r="A29" s="19" t="s">
        <v>81</v>
      </c>
      <c r="B29" s="11">
        <f>B28/B26-1</f>
        <v>-0.40122692554654493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0.065415</v>
      </c>
      <c r="B5" s="31">
        <v>200.47315264394564</v>
      </c>
      <c r="C5" s="31">
        <v>206.16751655170953</v>
      </c>
      <c r="D5" s="31">
        <v>213.66675843923724</v>
      </c>
      <c r="E5" s="31">
        <v>223.7353331899528</v>
      </c>
      <c r="F5" s="31">
        <v>237.64037849735655</v>
      </c>
    </row>
    <row r="6" spans="1:6" x14ac:dyDescent="0.25">
      <c r="A6" s="30">
        <v>0.075415</v>
      </c>
      <c r="B6" s="31">
        <v>164.789207422253</v>
      </c>
      <c r="C6" s="31">
        <v>166.82677344112994</v>
      </c>
      <c r="D6" s="31">
        <v>169.56842499428652</v>
      </c>
      <c r="E6" s="31">
        <v>173.2467126270095</v>
      </c>
      <c r="F6" s="31">
        <v>178.20926818869864</v>
      </c>
    </row>
    <row r="7" spans="1:6" x14ac:dyDescent="0.25">
      <c r="A7" s="30">
        <v>0.085415</v>
      </c>
      <c r="B7" s="31">
        <v>139.25195177292844</v>
      </c>
      <c r="C7" s="31">
        <v>139.4956559638076</v>
      </c>
      <c r="D7" s="32">
        <v>140.0164258813149</v>
      </c>
      <c r="E7" s="31">
        <v>140.88925901528935</v>
      </c>
      <c r="F7" s="31">
        <v>142.21890490945802</v>
      </c>
    </row>
    <row r="8" spans="1:6" x14ac:dyDescent="0.25">
      <c r="A8" s="30">
        <v>0.095415</v>
      </c>
      <c r="B8" s="31">
        <v>120.07552634577505</v>
      </c>
      <c r="C8" s="31">
        <v>119.39823254943533</v>
      </c>
      <c r="D8" s="31">
        <v>118.8170247019997</v>
      </c>
      <c r="E8" s="31">
        <v>118.35393581170119</v>
      </c>
      <c r="F8" s="31">
        <v>118.03829277346752</v>
      </c>
    </row>
    <row r="9" spans="1:6" x14ac:dyDescent="0.25">
      <c r="A9" s="30">
        <v>0.105415</v>
      </c>
      <c r="B9" s="31">
        <v>105.14896772266201</v>
      </c>
      <c r="C9" s="31">
        <v>103.99501120739211</v>
      </c>
      <c r="D9" s="31">
        <v>102.85706710070872</v>
      </c>
      <c r="E9" s="31">
        <v>101.73832026144368</v>
      </c>
      <c r="F9" s="31">
        <v>100.64286014512882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3457500000</v>
      </c>
      <c r="C5" s="18">
        <v>3268800000</v>
      </c>
      <c r="D5" s="18">
        <v>3273900000</v>
      </c>
      <c r="E5" s="18">
        <v>3181900000</v>
      </c>
      <c r="F5" s="6" t="s">
        <v>91</v>
      </c>
    </row>
    <row r="6" spans="1:6" x14ac:dyDescent="0.25">
      <c r="A6" t="s">
        <v>51</v>
      </c>
      <c r="B6" s="18">
        <v>720000000</v>
      </c>
      <c r="C6" s="18">
        <v>686500000</v>
      </c>
      <c r="D6" s="18">
        <v>743400000</v>
      </c>
      <c r="E6" s="18">
        <v>774200000</v>
      </c>
      <c r="F6" s="6" t="s">
        <v>92</v>
      </c>
    </row>
    <row r="7" spans="1:6" x14ac:dyDescent="0.25">
      <c r="A7" t="s">
        <v>93</v>
      </c>
      <c r="B7" s="18">
        <v>206500000</v>
      </c>
      <c r="C7" s="18">
        <v>175600000</v>
      </c>
      <c r="D7" s="18">
        <v>152100000</v>
      </c>
      <c r="E7" s="18">
        <v>119700000</v>
      </c>
      <c r="F7" s="6" t="s">
        <v>94</v>
      </c>
    </row>
    <row r="8" spans="1:6" x14ac:dyDescent="0.25">
      <c r="A8" t="s">
        <v>95</v>
      </c>
      <c r="B8" s="18">
        <v>63600000</v>
      </c>
      <c r="C8" s="18">
        <v>65100000</v>
      </c>
      <c r="D8" s="18">
        <v>89900000</v>
      </c>
      <c r="E8" s="18">
        <v>68000000</v>
      </c>
      <c r="F8" s="6" t="s">
        <v>96</v>
      </c>
    </row>
    <row r="9" spans="1:6" x14ac:dyDescent="0.25">
      <c r="A9" t="s">
        <v>97</v>
      </c>
      <c r="B9" s="18">
        <v>54100000</v>
      </c>
      <c r="C9" s="18">
        <v>17000000</v>
      </c>
      <c r="D9" s="18">
        <v>-32800000</v>
      </c>
      <c r="E9" s="18">
        <v>135400000</v>
      </c>
      <c r="F9" s="6" t="s">
        <v>98</v>
      </c>
    </row>
    <row r="10" spans="1:6" x14ac:dyDescent="0.25">
      <c r="A10" t="s">
        <v>99</v>
      </c>
      <c r="B10" s="18">
        <v>1848600000</v>
      </c>
      <c r="C10" s="18">
        <v>1986300000</v>
      </c>
      <c r="D10" s="18">
        <v>1347700000</v>
      </c>
      <c r="E10" s="18">
        <v>1586900000</v>
      </c>
      <c r="F10" s="6" t="s">
        <v>100</v>
      </c>
    </row>
    <row r="11" spans="1:6" x14ac:dyDescent="0.25">
      <c r="A11" t="s">
        <v>101</v>
      </c>
      <c r="B11" s="18">
        <v>580000000</v>
      </c>
      <c r="C11" s="18">
        <v>620800000</v>
      </c>
      <c r="D11" s="18">
        <v>534300000</v>
      </c>
      <c r="E11" s="18">
        <v>430200000</v>
      </c>
      <c r="F11" s="6" t="s">
        <v>102</v>
      </c>
    </row>
    <row r="12" spans="1:6" x14ac:dyDescent="0.25">
      <c r="A12" t="s">
        <v>34</v>
      </c>
      <c r="B12" s="34">
        <v>75300000</v>
      </c>
      <c r="C12" s="34">
        <v>75900000</v>
      </c>
      <c r="D12" s="34">
        <v>75900000</v>
      </c>
      <c r="E12" s="34">
        <v>76000000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