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<sst xmlns="http://schemas.openxmlformats.org/spreadsheetml/2006/main" count="113" uniqueCount="101">
  <si>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Intact Financial Corporation (IFC.TO)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</si>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</sst>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0.049748961560451166</v>
      </c>
    </row>
    <row r="7" spans="1:2" x14ac:dyDescent="0.25">
      <c r="A7" t="s">
        <v>5</v>
      </c>
      <c r="B7" s="6">
        <v>0.12281377469227409</v>
      </c>
    </row>
    <row r="8" spans="1:2" x14ac:dyDescent="0.25">
      <c r="A8" t="s">
        <v>6</v>
      </c>
      <c r="B8" s="6">
        <v>0.20803649956202008</v>
      </c>
    </row>
    <row r="9" spans="1:2" x14ac:dyDescent="0.25">
      <c r="A9" t="s">
        <v>7</v>
      </c>
      <c r="B9" s="6">
        <v>0.027559715624817425</v>
      </c>
    </row>
    <row r="10" spans="1:2" x14ac:dyDescent="0.25">
      <c r="A10" t="s">
        <v>8</v>
      </c>
      <c r="B10" s="6">
        <v>0.018149712909184438</v>
      </c>
    </row>
    <row r="11" spans="1:2" x14ac:dyDescent="0.25">
      <c r="A11" t="s">
        <v>9</v>
      </c>
      <c r="B11" s="6">
        <v>-0.5590318772136954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6.272150257053291</v>
      </c>
    </row>
    <row r="14" spans="1:3" x14ac:dyDescent="0.25">
      <c r="A14" t="s">
        <v>12</v>
      </c>
      <c r="B14" s="6">
        <v>0.11588652892107301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0.51827</v>
      </c>
      <c r="C19" s="8" t="s">
        <v>19</v>
      </c>
    </row>
    <row r="20" spans="1:2" x14ac:dyDescent="0.25">
      <c r="A20" t="s">
        <v>20</v>
      </c>
      <c r="B20" s="10">
        <f>B17+B19*B18</f>
        <v>0.06150485</v>
      </c>
    </row>
    <row r="21" spans="1:3" x14ac:dyDescent="0.25">
      <c r="A21" t="s">
        <v>21</v>
      </c>
      <c r="B21" s="6">
        <v>0.041950219073366275</v>
      </c>
      <c r="C21" s="8" t="s">
        <v>22</v>
      </c>
    </row>
    <row r="22" spans="1:2" x14ac:dyDescent="0.25">
      <c r="A22" t="s">
        <v>23</v>
      </c>
      <c r="B22" s="11">
        <v>45558054912</v>
      </c>
    </row>
    <row r="23" spans="1:2" x14ac:dyDescent="0.25">
      <c r="A23" t="s">
        <v>24</v>
      </c>
      <c r="B23" s="11">
        <v>5252000000</v>
      </c>
    </row>
    <row r="24" spans="1:2" x14ac:dyDescent="0.25">
      <c r="A24" t="s">
        <v>25</v>
      </c>
      <c r="B24" s="10">
        <f>B22/(B22+B23)</f>
        <v>0.896634632473904</v>
      </c>
    </row>
    <row r="25" spans="1:2" x14ac:dyDescent="0.25">
      <c r="A25" t="s">
        <v>26</v>
      </c>
      <c r="B25" s="10">
        <f>1-B24</f>
        <v>0.10336536752609604</v>
      </c>
    </row>
    <row r="26" spans="1:2" x14ac:dyDescent="0.25">
      <c r="A26" t="s">
        <v>27</v>
      </c>
      <c r="B26" s="12">
        <f>B24*B20+B25*B21*(1-B8)</f>
        <v>0.05858149055707506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26073000000</v>
      </c>
      <c r="C29" s="8" t="s">
        <v>30</v>
      </c>
    </row>
    <row r="30" spans="1:2" x14ac:dyDescent="0.25">
      <c r="A30" t="s">
        <v>31</v>
      </c>
      <c r="B30" s="11">
        <v>-13545000000</v>
      </c>
    </row>
    <row r="31" spans="1:2" x14ac:dyDescent="0.25">
      <c r="A31" t="s">
        <v>32</v>
      </c>
      <c r="B31" s="13">
        <v>178500000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0.049748961560451166</v>
      </c>
      <c r="C5" s="10">
        <f>Assumptions!B6</f>
        <v>0.049748961560451166</v>
      </c>
      <c r="D5" s="10">
        <f>Assumptions!B6</f>
        <v>0.049748961560451166</v>
      </c>
      <c r="E5" s="10">
        <f>Assumptions!B6</f>
        <v>0.049748961560451166</v>
      </c>
      <c r="F5" s="10">
        <f>Assumptions!B6</f>
        <v>0.049748961560451166</v>
      </c>
    </row>
    <row r="6" spans="1:6" x14ac:dyDescent="0.25">
      <c r="A6" t="s">
        <v>43</v>
      </c>
      <c r="B6" s="18">
        <f>Assumptions!B29*(1+B5)</f>
        <v>27370104674.765644</v>
      </c>
      <c r="C6" s="18">
        <f>B6*(1+C5)</f>
        <v>28731738960.136086</v>
      </c>
      <c r="D6" s="18">
        <f>C6*(1+D5)</f>
        <v>30161113137.228813</v>
      </c>
      <c r="E6" s="18">
        <f>D6*(1+E5)</f>
        <v>31661597195.31323</v>
      </c>
      <c r="F6" s="18">
        <f>E6*(1+F5)</f>
        <v>33236728777.125355</v>
      </c>
    </row>
    <row r="7" spans="1:6" x14ac:dyDescent="0.25">
      <c r="A7" t="s">
        <v>5</v>
      </c>
      <c r="B7" s="10">
        <f>Assumptions!B7</f>
        <v>0.12281377469227409</v>
      </c>
      <c r="C7" s="10">
        <f>Assumptions!B7</f>
        <v>0.12281377469227409</v>
      </c>
      <c r="D7" s="10">
        <f>Assumptions!B7</f>
        <v>0.12281377469227409</v>
      </c>
      <c r="E7" s="10">
        <f>Assumptions!B7</f>
        <v>0.12281377469227409</v>
      </c>
      <c r="F7" s="10">
        <f>Assumptions!B7</f>
        <v>0.12281377469227409</v>
      </c>
    </row>
    <row r="8" spans="1:6" x14ac:dyDescent="0.25">
      <c r="A8" t="s">
        <v>44</v>
      </c>
      <c r="B8" s="18">
        <f>B6*B7</f>
        <v>3361425868.8306255</v>
      </c>
      <c r="C8" s="18">
        <f>C6*C7</f>
        <v>3528653315.1673865</v>
      </c>
      <c r="D8" s="18">
        <f>D6*D7</f>
        <v>3704200153.3038073</v>
      </c>
      <c r="E8" s="18">
        <f>E6*E7</f>
        <v>3888480264.342736</v>
      </c>
      <c r="F8" s="18">
        <f>F6*F7</f>
        <v>4081928119.5420957</v>
      </c>
    </row>
    <row r="9" spans="1:6" x14ac:dyDescent="0.25">
      <c r="A9" t="s">
        <v>45</v>
      </c>
      <c r="B9" s="18">
        <f>B8*(1-Assumptions!B8)</f>
        <v>2662126597.54188</v>
      </c>
      <c r="C9" s="18">
        <f>C8*(1-Assumptions!B8)</f>
        <v>2794564631.3120456</v>
      </c>
      <c r="D9" s="18">
        <f>D8*(1-Assumptions!B8)</f>
        <v>2933591319.733385</v>
      </c>
      <c r="E9" s="18">
        <f>E8*(1-Assumptions!B8)</f>
        <v>3079534441.5328746</v>
      </c>
      <c r="F9" s="18">
        <f>F8*(1-Assumptions!B8)</f>
        <v>3232738082.088779</v>
      </c>
    </row>
    <row r="10" spans="1:6" x14ac:dyDescent="0.25">
      <c r="A10" t="s">
        <v>46</v>
      </c>
      <c r="B10" s="18">
        <f>B6*Assumptions!B9</f>
        <v>754312301.4580271</v>
      </c>
      <c r="C10" s="18">
        <f>C6*Assumptions!B9</f>
        <v>791838555.147838</v>
      </c>
      <c r="D10" s="18">
        <f>D6*Assumptions!B9</f>
        <v>831231700.989971</v>
      </c>
      <c r="E10" s="18">
        <f>E6*Assumptions!B9</f>
        <v>872584614.9303496</v>
      </c>
      <c r="F10" s="18">
        <f>F6*Assumptions!B9</f>
        <v>915994793.3967606</v>
      </c>
    </row>
    <row r="11" spans="1:6" x14ac:dyDescent="0.25">
      <c r="A11" t="s">
        <v>47</v>
      </c>
      <c r="B11" s="18">
        <f>-B6*Assumptions!B10</f>
        <v>-496759542.1413233</v>
      </c>
      <c r="C11" s="18">
        <f>-C6*Assumptions!B10</f>
        <v>-521472813.5080994</v>
      </c>
      <c r="D11" s="18">
        <f>-D6*Assumptions!B10</f>
        <v>-547415544.4621341</v>
      </c>
      <c r="E11" s="18">
        <f>-E6*Assumptions!B10</f>
        <v>-574648899.3411742</v>
      </c>
      <c r="F11" s="18">
        <f>-F6*Assumptions!B10</f>
        <v>-603237085.345254</v>
      </c>
    </row>
    <row r="12" spans="1:6" x14ac:dyDescent="0.25">
      <c r="A12" t="s">
        <v>48</v>
      </c>
      <c r="B12" s="18">
        <f>-(B6-Assumptions!B29)*Assumptions!B11</f>
        <v>725122861.2768979</v>
      </c>
      <c r="C12" s="18">
        <f>-(C6-B6)*Assumptions!B11</f>
        <v>761196970.6291665</v>
      </c>
      <c r="D12" s="18">
        <f>-(D6-C6)*Assumptions!B11</f>
        <v>799065729.4609287</v>
      </c>
      <c r="E12" s="18">
        <f>-(E6-D6)*Assumptions!B11</f>
        <v>838818419.7201543</v>
      </c>
      <c r="F12" s="18">
        <f>-(F6-E6)*Assumptions!B11</f>
        <v>880548765.0390103</v>
      </c>
    </row>
    <row r="13" spans="1:6" x14ac:dyDescent="0.25">
      <c r="A13" s="19" t="s">
        <v>49</v>
      </c>
      <c r="B13" s="20">
        <f>B9+B10+B11+B12</f>
        <v>3644802218.1354823</v>
      </c>
      <c r="C13" s="20">
        <f>C9+C10+C11+C12</f>
        <v>3826127343.5809507</v>
      </c>
      <c r="D13" s="20">
        <f>D9+D10+D11+D12</f>
        <v>4016473205.722151</v>
      </c>
      <c r="E13" s="20">
        <f>E9+E10+E11+E12</f>
        <v>4216288576.8422046</v>
      </c>
      <c r="F13" s="20">
        <f>F9+F10+F11+F12</f>
        <v>4426044555.179296</v>
      </c>
    </row>
    <row r="14" spans="1:6" x14ac:dyDescent="0.25">
      <c r="A14" t="s">
        <v>50</v>
      </c>
      <c r="B14" s="21">
        <f>1/(1+Assumptions!$B$26)^(1-0.5*Assumptions!$B$32)</f>
        <v>0.9719364107230668</v>
      </c>
      <c r="C14" s="21">
        <f>1/(1+Assumptions!$B$26)^(2-0.5*Assumptions!$B$32)</f>
        <v>0.9181498253966149</v>
      </c>
      <c r="D14" s="21">
        <f>1/(1+Assumptions!$B$26)^(3-0.5*Assumptions!$B$32)</f>
        <v>0.8673397689141926</v>
      </c>
      <c r="E14" s="21">
        <f>1/(1+Assumptions!$B$26)^(4-0.5*Assumptions!$B$32)</f>
        <v>0.8193415213199675</v>
      </c>
      <c r="F14" s="21">
        <f>1/(1+Assumptions!$B$26)^(5-0.5*Assumptions!$B$32)</f>
        <v>0.7739994781968006</v>
      </c>
    </row>
    <row r="15" spans="1:6" x14ac:dyDescent="0.25">
      <c r="A15" s="19" t="s">
        <v>51</v>
      </c>
      <c r="B15" s="20">
        <f>B13*B14</f>
        <v>3542515985.690073</v>
      </c>
      <c r="C15" s="20">
        <f>C13*C14</f>
        <v>3512958152.454064</v>
      </c>
      <c r="D15" s="20">
        <f>D13*D14</f>
        <v>3483646942.1010966</v>
      </c>
      <c r="E15" s="20">
        <f>E13*E14</f>
        <v>3454580296.873893</v>
      </c>
      <c r="F15" s="20">
        <f>F13*F14</f>
        <v>3425756176.184565</v>
      </c>
    </row>
    <row r="17" spans="1:2" x14ac:dyDescent="0.25">
      <c r="A17" s="22" t="s">
        <v>52</v>
      </c>
      <c r="B17" s="23">
        <f>SUM(B15:F15)</f>
        <v>17419457553.30369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4426044555.179296</v>
      </c>
    </row>
    <row r="5" spans="1:2" x14ac:dyDescent="0.25">
      <c r="A5" t="s">
        <v>56</v>
      </c>
      <c r="B5" s="18">
        <f>IF(Assumptions!$B$33=0,B4,B4-Forecast!F11-Forecast!F10-Forecast!F12)</f>
        <v>3774779371.6796355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0.2157282665444815</v>
      </c>
    </row>
    <row r="7" spans="1:2" x14ac:dyDescent="0.25">
      <c r="A7" t="s">
        <v>58</v>
      </c>
      <c r="B7" s="18">
        <f>-MAX(Forecast!F9,0)*B6</f>
        <v>-814326610.4403148</v>
      </c>
    </row>
    <row r="8" spans="1:2" x14ac:dyDescent="0.25">
      <c r="A8" t="s">
        <v>59</v>
      </c>
      <c r="B8" s="18">
        <f>IF(OR(Assumptions!$B$33=0,Assumptions!B12&lt;=0),B5,MAX(B5+B7,0))</f>
        <v>2960452761.2393208</v>
      </c>
    </row>
    <row r="9" spans="1:2" x14ac:dyDescent="0.25">
      <c r="A9" t="s">
        <v>60</v>
      </c>
      <c r="B9" s="18">
        <f>B8*(1+Assumptions!B12)/(Assumptions!B26-Assumptions!B12)</f>
        <v>90361208806.76611</v>
      </c>
    </row>
    <row r="10" spans="1:2" x14ac:dyDescent="0.25">
      <c r="A10" t="s">
        <v>61</v>
      </c>
      <c r="B10" s="18">
        <f>B9/(1+Assumptions!B26)^(5-0.5*Assumptions!B32)</f>
        <v>69939528465.66911</v>
      </c>
    </row>
    <row r="11" spans="1:2" x14ac:dyDescent="0.25">
      <c r="A11" t="s">
        <v>62</v>
      </c>
      <c r="B11" s="18">
        <f>Forecast!B17+B10</f>
        <v>87358986018.97281</v>
      </c>
    </row>
    <row r="12" spans="1:2" x14ac:dyDescent="0.25">
      <c r="A12" t="s">
        <v>63</v>
      </c>
      <c r="B12" s="18">
        <f>-Assumptions!B30</f>
        <v>13545000000</v>
      </c>
    </row>
    <row r="13" spans="1:2" x14ac:dyDescent="0.25">
      <c r="A13" t="s">
        <v>64</v>
      </c>
      <c r="B13" s="18">
        <f>B11+B12</f>
        <v>100903986018.97281</v>
      </c>
    </row>
    <row r="14" spans="1:2" x14ac:dyDescent="0.25">
      <c r="A14" s="19" t="s">
        <v>65</v>
      </c>
      <c r="B14" s="24">
        <f>B13/Assumptions!B31</f>
        <v>565.2884370810801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4997922912.938856</v>
      </c>
    </row>
    <row r="18" spans="1:2" x14ac:dyDescent="0.25">
      <c r="A18" t="s">
        <v>60</v>
      </c>
      <c r="B18" s="18">
        <f>B17*Assumptions!B13</f>
        <v>31347723483.121983</v>
      </c>
    </row>
    <row r="19" spans="1:2" x14ac:dyDescent="0.25">
      <c r="A19" t="s">
        <v>61</v>
      </c>
      <c r="B19" s="18">
        <f>B18/(1+Assumptions!B26)^(5-0.5*Assumptions!B32)</f>
        <v>24263121618.594006</v>
      </c>
    </row>
    <row r="20" spans="1:2" x14ac:dyDescent="0.25">
      <c r="A20" t="s">
        <v>62</v>
      </c>
      <c r="B20" s="18">
        <f>Forecast!B17+B19</f>
        <v>41682579171.8977</v>
      </c>
    </row>
    <row r="21" spans="1:2" x14ac:dyDescent="0.25">
      <c r="A21" t="s">
        <v>63</v>
      </c>
      <c r="B21" s="18">
        <f>-Assumptions!B30</f>
        <v>13545000000</v>
      </c>
    </row>
    <row r="22" spans="1:2" x14ac:dyDescent="0.25">
      <c r="A22" t="s">
        <v>64</v>
      </c>
      <c r="B22" s="18">
        <f>B20+B21</f>
        <v>55227579171.8977</v>
      </c>
    </row>
    <row r="23" spans="1:2" x14ac:dyDescent="0.25">
      <c r="A23" s="19" t="s">
        <v>65</v>
      </c>
      <c r="B23" s="25">
        <f>B22/Assumptions!B31</f>
        <v>309.39820264368456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258.34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565.2884370810801</v>
      </c>
    </row>
    <row r="29" spans="1:2" x14ac:dyDescent="0.25">
      <c r="A29" s="19" t="s">
        <v>73</v>
      </c>
      <c r="B29" s="12">
        <f>B28/B26-1</f>
        <v>1.1881568362664714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0.038581</v>
      </c>
      <c r="B5" s="31">
        <v>846.5477616252434</v>
      </c>
      <c r="C5" s="31">
        <v>988.3202608509584</v>
      </c>
      <c r="D5" s="31">
        <v>1233.9164836991908</v>
      </c>
      <c r="E5" s="31">
        <v>1764.825283955952</v>
      </c>
      <c r="F5" s="31">
        <v>3776.156592123322</v>
      </c>
    </row>
    <row r="6" spans="1:6" x14ac:dyDescent="0.25">
      <c r="A6" s="30">
        <v>0.048581</v>
      </c>
      <c r="B6" s="31">
        <v>625.2938394497638</v>
      </c>
      <c r="C6" s="31">
        <v>680.2263540699876</v>
      </c>
      <c r="D6" s="31">
        <v>758.1415627601685</v>
      </c>
      <c r="E6" s="31">
        <v>877.5928486024529</v>
      </c>
      <c r="F6" s="31">
        <v>1084.4561527853803</v>
      </c>
    </row>
    <row r="7" spans="1:6" x14ac:dyDescent="0.25">
      <c r="A7" s="30">
        <v>0.058581</v>
      </c>
      <c r="B7" s="31">
        <v>505.33741145453695</v>
      </c>
      <c r="C7" s="31">
        <v>531.5225917222971</v>
      </c>
      <c r="D7" s="32">
        <v>565.2950902166567</v>
      </c>
      <c r="E7" s="31">
        <v>610.636915033868</v>
      </c>
      <c r="F7" s="31">
        <v>674.9073764170414</v>
      </c>
    </row>
    <row r="8" spans="1:6" x14ac:dyDescent="0.25">
      <c r="A8" s="30">
        <v>0.068581</v>
      </c>
      <c r="B8" s="31">
        <v>429.97376377151176</v>
      </c>
      <c r="C8" s="31">
        <v>443.7968759993005</v>
      </c>
      <c r="D8" s="31">
        <v>460.63647747003125</v>
      </c>
      <c r="E8" s="31">
        <v>481.66535630853565</v>
      </c>
      <c r="F8" s="31">
        <v>508.75478378477635</v>
      </c>
    </row>
    <row r="9" spans="1:6" x14ac:dyDescent="0.25">
      <c r="A9" s="30">
        <v>0.078581</v>
      </c>
      <c r="B9" s="31">
        <v>378.17149190936664</v>
      </c>
      <c r="C9" s="31">
        <v>385.83350757592694</v>
      </c>
      <c r="D9" s="31">
        <v>394.80435545259917</v>
      </c>
      <c r="E9" s="31">
        <v>405.4881540867926</v>
      </c>
      <c r="F9" s="31">
        <v>418.4744783244909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26073000000</v>
      </c>
      <c r="C5" s="18">
        <v>24984000000</v>
      </c>
      <c r="D5" s="18">
        <v>23290000000</v>
      </c>
      <c r="E5" s="18">
        <v>22539000000</v>
      </c>
      <c r="F5" s="8" t="s">
        <v>84</v>
      </c>
    </row>
    <row r="6" spans="1:6" x14ac:dyDescent="0.25">
      <c r="A6" t="s">
        <v>44</v>
      </c>
      <c r="B6" s="18">
        <v>4307000000</v>
      </c>
      <c r="C6" s="18">
        <v>2878000000</v>
      </c>
      <c r="D6" s="18">
        <v>1804000000</v>
      </c>
      <c r="E6" s="18">
        <v>3007000000</v>
      </c>
      <c r="F6" s="8" t="s">
        <v>85</v>
      </c>
    </row>
    <row r="7" spans="1:6" x14ac:dyDescent="0.25">
      <c r="A7" t="s">
        <v>86</v>
      </c>
      <c r="B7" s="18">
        <v>797000000</v>
      </c>
      <c r="C7" s="18">
        <v>726000000</v>
      </c>
      <c r="D7" s="18">
        <v>597000000</v>
      </c>
      <c r="E7" s="18">
        <v>563000000</v>
      </c>
      <c r="F7" s="8" t="s">
        <v>87</v>
      </c>
    </row>
    <row r="8" spans="1:6" x14ac:dyDescent="0.25">
      <c r="A8" t="s">
        <v>88</v>
      </c>
      <c r="B8" s="18">
        <v>457000000</v>
      </c>
      <c r="C8" s="18">
        <v>429000000</v>
      </c>
      <c r="D8" s="18">
        <v>458000000</v>
      </c>
      <c r="E8" s="18">
        <v>411000000</v>
      </c>
      <c r="F8" s="8" t="s">
        <v>89</v>
      </c>
    </row>
    <row r="9" spans="1:6" x14ac:dyDescent="0.25">
      <c r="A9" t="s">
        <v>90</v>
      </c>
      <c r="B9" s="18">
        <v>-806000000</v>
      </c>
      <c r="C9" s="18">
        <v>-947000000</v>
      </c>
      <c r="D9" s="18">
        <v>289000000</v>
      </c>
      <c r="E9" s="18">
        <v>-249000000</v>
      </c>
      <c r="F9" s="8" t="s">
        <v>91</v>
      </c>
    </row>
    <row r="10" spans="1:6" x14ac:dyDescent="0.25">
      <c r="A10" t="s">
        <v>92</v>
      </c>
      <c r="B10" s="18">
        <v>5252000000</v>
      </c>
      <c r="C10" s="18">
        <v>5475000000</v>
      </c>
      <c r="D10" s="18">
        <v>5741000000</v>
      </c>
      <c r="E10" s="18">
        <v>5144000000</v>
      </c>
      <c r="F10" s="8" t="s">
        <v>93</v>
      </c>
    </row>
    <row r="11" spans="1:6" x14ac:dyDescent="0.25">
      <c r="A11" t="s">
        <v>94</v>
      </c>
      <c r="B11" s="18">
        <v>18797000000</v>
      </c>
      <c r="C11" s="18">
        <v>18898000000</v>
      </c>
      <c r="D11" s="18">
        <v>17940000000</v>
      </c>
      <c r="E11" s="18">
        <v>23846000000</v>
      </c>
      <c r="F11" s="8" t="s">
        <v>95</v>
      </c>
    </row>
    <row r="12" spans="1:6" x14ac:dyDescent="0.25">
      <c r="A12" t="s">
        <v>32</v>
      </c>
      <c r="B12" s="34">
        <v>178500000</v>
      </c>
      <c r="C12" s="34">
        <v>178600000</v>
      </c>
      <c r="D12" s="34">
        <v>176200000</v>
      </c>
      <c r="E12" s="34">
        <v>175600000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2026-09-19T00:07:05Z</dcterms:modified>
</cp:coreProperties>
</file>