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<sst xmlns="http://schemas.openxmlformats.org/spreadsheetml/2006/main" count="111" uniqueCount="99">
  <si>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International Flavors &amp; Fragrances Inc. (IFF)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</si>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</sst>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-0.043387980933718207</v>
      </c>
    </row>
    <row r="7" spans="1:2" x14ac:dyDescent="0.25">
      <c r="A7" t="s">
        <v>5</v>
      </c>
      <c r="B7" s="6">
        <v>0.07153990708521536</v>
      </c>
    </row>
    <row r="8" spans="1:2" x14ac:dyDescent="0.25">
      <c r="A8" t="s">
        <v>6</v>
      </c>
      <c r="B8" s="6">
        <v>0.1331168831168831</v>
      </c>
    </row>
    <row r="9" spans="1:2" x14ac:dyDescent="0.25">
      <c r="A9" t="s">
        <v>7</v>
      </c>
      <c r="B9" s="6">
        <v>0.09274567516134036</v>
      </c>
    </row>
    <row r="10" spans="1:2" x14ac:dyDescent="0.25">
      <c r="A10" t="s">
        <v>8</v>
      </c>
      <c r="B10" s="6">
        <v>0.04499396238467682</v>
      </c>
    </row>
    <row r="11" spans="1:2" x14ac:dyDescent="0.25">
      <c r="A11" t="s">
        <v>9</v>
      </c>
      <c r="B11" s="6">
        <v>0.5775234131113424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15.075521738359202</v>
      </c>
    </row>
    <row r="14" spans="1:3" x14ac:dyDescent="0.25">
      <c r="A14" t="s">
        <v>12</v>
      </c>
      <c r="B14" s="6">
        <v>0.08897412822981964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0.96851</v>
      </c>
      <c r="C19" s="8" t="s">
        <v>19</v>
      </c>
    </row>
    <row r="20" spans="1:2" x14ac:dyDescent="0.25">
      <c r="A20" t="s">
        <v>20</v>
      </c>
      <c r="B20" s="10">
        <f>B17+B19*B18</f>
        <v>0.10324805000000001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21167241216</v>
      </c>
    </row>
    <row r="23" spans="1:2" x14ac:dyDescent="0.25">
      <c r="A23" t="s">
        <v>24</v>
      </c>
      <c r="B23" s="11">
        <v>6619000000</v>
      </c>
    </row>
    <row r="24" spans="1:2" x14ac:dyDescent="0.25">
      <c r="A24" t="s">
        <v>25</v>
      </c>
      <c r="B24" s="10">
        <f>B22/(B22+B23)</f>
        <v>0.7617885791551893</v>
      </c>
    </row>
    <row r="25" spans="1:2" x14ac:dyDescent="0.25">
      <c r="A25" t="s">
        <v>26</v>
      </c>
      <c r="B25" s="10">
        <f>1-B24</f>
        <v>0.23821142084481073</v>
      </c>
    </row>
    <row r="26" spans="1:2" x14ac:dyDescent="0.25">
      <c r="A26" t="s">
        <v>27</v>
      </c>
      <c r="B26" s="12">
        <f>B24*B20+B25*B21*(1-B8)</f>
        <v>0.08897412822981964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10890000000</v>
      </c>
      <c r="C29" s="8" t="s">
        <v>30</v>
      </c>
    </row>
    <row r="30" spans="1:2" x14ac:dyDescent="0.25">
      <c r="A30" t="s">
        <v>31</v>
      </c>
      <c r="B30" s="11">
        <v>6029000000</v>
      </c>
    </row>
    <row r="31" spans="1:2" x14ac:dyDescent="0.25">
      <c r="A31" t="s">
        <v>32</v>
      </c>
      <c r="B31" s="13">
        <v>256000000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-0.043387980933718207</v>
      </c>
      <c r="C5" s="10">
        <f>Assumptions!B6</f>
        <v>-0.043387980933718207</v>
      </c>
      <c r="D5" s="10">
        <f>Assumptions!B6</f>
        <v>-0.043387980933718207</v>
      </c>
      <c r="E5" s="10">
        <f>Assumptions!B6</f>
        <v>-0.043387980933718207</v>
      </c>
      <c r="F5" s="10">
        <f>Assumptions!B6</f>
        <v>-0.043387980933718207</v>
      </c>
    </row>
    <row r="6" spans="1:6" x14ac:dyDescent="0.25">
      <c r="A6" t="s">
        <v>43</v>
      </c>
      <c r="B6" s="18">
        <f>Assumptions!B29*(1+B5)</f>
        <v>10417504887.63181</v>
      </c>
      <c r="C6" s="18">
        <f>B6*(1+C5)</f>
        <v>9965510384.190325</v>
      </c>
      <c r="D6" s="18">
        <f>C6*(1+D5)</f>
        <v>9533127009.646305</v>
      </c>
      <c r="E6" s="18">
        <f>D6*(1+E5)</f>
        <v>9119503876.713057</v>
      </c>
      <c r="F6" s="18">
        <f>E6*(1+F5)</f>
        <v>8723827016.385262</v>
      </c>
    </row>
    <row r="7" spans="1:6" x14ac:dyDescent="0.25">
      <c r="A7" t="s">
        <v>5</v>
      </c>
      <c r="B7" s="10">
        <f>Assumptions!B7</f>
        <v>0.07153990708521536</v>
      </c>
      <c r="C7" s="10">
        <f>Assumptions!B7</f>
        <v>0.07153990708521536</v>
      </c>
      <c r="D7" s="10">
        <f>Assumptions!B7</f>
        <v>0.07153990708521536</v>
      </c>
      <c r="E7" s="10">
        <f>Assumptions!B7</f>
        <v>0.07153990708521536</v>
      </c>
      <c r="F7" s="10">
        <f>Assumptions!B7</f>
        <v>0.07153990708521536</v>
      </c>
    </row>
    <row r="8" spans="1:6" x14ac:dyDescent="0.25">
      <c r="A8" t="s">
        <v>44</v>
      </c>
      <c r="B8" s="18">
        <f>B6*B7</f>
        <v>745267331.7209566</v>
      </c>
      <c r="C8" s="18">
        <f>C6*C7</f>
        <v>712931686.9417247</v>
      </c>
      <c r="D8" s="18">
        <f>D6*D7</f>
        <v>681999020.5016537</v>
      </c>
      <c r="E8" s="18">
        <f>E6*E7</f>
        <v>652408460.0033133</v>
      </c>
      <c r="F8" s="18">
        <f>F6*F7</f>
        <v>624101774.1796932</v>
      </c>
    </row>
    <row r="9" spans="1:6" x14ac:dyDescent="0.25">
      <c r="A9" t="s">
        <v>45</v>
      </c>
      <c r="B9" s="18">
        <f>B8*(1-Assumptions!B8)</f>
        <v>646059667.4334266</v>
      </c>
      <c r="C9" s="18">
        <f>C8*(1-Assumptions!B8)</f>
        <v>618028442.9007808</v>
      </c>
      <c r="D9" s="18">
        <f>D8*(1-Assumptions!B8)</f>
        <v>591213436.6037062</v>
      </c>
      <c r="E9" s="18">
        <f>E8*(1-Assumptions!B8)</f>
        <v>565561879.2885866</v>
      </c>
      <c r="F9" s="18">
        <f>F8*(1-Assumptions!B8)</f>
        <v>541023291.2531756</v>
      </c>
    </row>
    <row r="10" spans="1:6" x14ac:dyDescent="0.25">
      <c r="A10" t="s">
        <v>46</v>
      </c>
      <c r="B10" s="18">
        <f>B6*Assumptions!B9</f>
        <v>966178524.2999753</v>
      </c>
      <c r="C10" s="18">
        <f>C6*Assumptions!B9</f>
        <v>924257988.90908</v>
      </c>
      <c r="D10" s="18">
        <f>D6*Assumptions!B9</f>
        <v>884156300.9084562</v>
      </c>
      <c r="E10" s="18">
        <f>E6*Assumptions!B9</f>
        <v>845794544.1822132</v>
      </c>
      <c r="F10" s="18">
        <f>F6*Assumptions!B9</f>
        <v>809097226.6253926</v>
      </c>
    </row>
    <row r="11" spans="1:6" x14ac:dyDescent="0.25">
      <c r="A11" t="s">
        <v>47</v>
      </c>
      <c r="B11" s="18">
        <f>-B6*Assumptions!B10</f>
        <v>-468724823.05629253</v>
      </c>
      <c r="C11" s="18">
        <f>-C6*Assumptions!B10</f>
        <v>-448387799.3703657</v>
      </c>
      <c r="D11" s="18">
        <f>-D6*Assumptions!B10</f>
        <v>-428933158.08037245</v>
      </c>
      <c r="E11" s="18">
        <f>-E6*Assumptions!B10</f>
        <v>-410322614.3957417</v>
      </c>
      <c r="F11" s="18">
        <f>-F6*Assumptions!B10</f>
        <v>-392519544.62566584</v>
      </c>
    </row>
    <row r="12" spans="1:6" x14ac:dyDescent="0.25">
      <c r="A12" t="s">
        <v>48</v>
      </c>
      <c r="B12" s="18">
        <f>-(B6-Assumptions!B29)*Assumptions!B11</f>
        <v>272876989.97330475</v>
      </c>
      <c r="C12" s="18">
        <f>-(C6-B6)*Assumptions!B11</f>
        <v>261037408.33509248</v>
      </c>
      <c r="D12" s="18">
        <f>-(D6-C6)*Assumptions!B11</f>
        <v>249711522.23926216</v>
      </c>
      <c r="E12" s="18">
        <f>-(E6-D6)*Assumptions!B11</f>
        <v>238877043.47341615</v>
      </c>
      <c r="F12" s="18">
        <f>-(F6-E6)*Assumptions!B11</f>
        <v>228512650.8656881</v>
      </c>
    </row>
    <row r="13" spans="1:6" x14ac:dyDescent="0.25">
      <c r="A13" s="19" t="s">
        <v>49</v>
      </c>
      <c r="B13" s="20">
        <f>B9+B10+B11+B12</f>
        <v>1416390358.650414</v>
      </c>
      <c r="C13" s="20">
        <f>C9+C10+C11+C12</f>
        <v>1354936040.7745876</v>
      </c>
      <c r="D13" s="20">
        <f>D9+D10+D11+D12</f>
        <v>1296148101.6710522</v>
      </c>
      <c r="E13" s="20">
        <f>E9+E10+E11+E12</f>
        <v>1239910852.5484743</v>
      </c>
      <c r="F13" s="20">
        <f>F9+F10+F11+F12</f>
        <v>1186113624.1185904</v>
      </c>
    </row>
    <row r="14" spans="1:6" x14ac:dyDescent="0.25">
      <c r="A14" t="s">
        <v>50</v>
      </c>
      <c r="B14" s="21">
        <f>1/(1+Assumptions!$B$26)^(1-0.5*Assumptions!$B$32)</f>
        <v>0.9582773407665344</v>
      </c>
      <c r="C14" s="21">
        <f>1/(1+Assumptions!$B$26)^(2-0.5*Assumptions!$B$32)</f>
        <v>0.879981733197152</v>
      </c>
      <c r="D14" s="21">
        <f>1/(1+Assumptions!$B$26)^(3-0.5*Assumptions!$B$32)</f>
        <v>0.8080832320852335</v>
      </c>
      <c r="E14" s="21">
        <f>1/(1+Assumptions!$B$26)^(4-0.5*Assumptions!$B$32)</f>
        <v>0.7420591648020253</v>
      </c>
      <c r="F14" s="21">
        <f>1/(1+Assumptions!$B$26)^(5-0.5*Assumptions!$B$32)</f>
        <v>0.6814295634445224</v>
      </c>
    </row>
    <row r="15" spans="1:6" x14ac:dyDescent="0.25">
      <c r="A15" s="19" t="s">
        <v>51</v>
      </c>
      <c r="B15" s="20">
        <f>B13*B14</f>
        <v>1357294786.3748765</v>
      </c>
      <c r="C15" s="20">
        <f>C13*C14</f>
        <v>1192318965.5321085</v>
      </c>
      <c r="D15" s="20">
        <f>D13*D14</f>
        <v>1047395547.2594837</v>
      </c>
      <c r="E15" s="20">
        <f>E13*E14</f>
        <v>920087211.671088</v>
      </c>
      <c r="F15" s="20">
        <f>F13*F14</f>
        <v>808252889.0787314</v>
      </c>
    </row>
    <row r="17" spans="1:2" x14ac:dyDescent="0.25">
      <c r="A17" s="22" t="s">
        <v>52</v>
      </c>
      <c r="B17" s="23">
        <f>SUM(B15:F15)</f>
        <v>5325349399.916288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1186113624.1185904</v>
      </c>
    </row>
    <row r="5" spans="1:2" x14ac:dyDescent="0.25">
      <c r="A5" t="s">
        <v>56</v>
      </c>
      <c r="B5" s="18">
        <f>IF(Assumptions!$B$33=0,B4,B4-Forecast!F11-Forecast!F10-Forecast!F12)</f>
        <v>962548682.1277337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0.2809805557793739</v>
      </c>
    </row>
    <row r="7" spans="1:2" x14ac:dyDescent="0.25">
      <c r="A7" t="s">
        <v>58</v>
      </c>
      <c r="B7" s="18">
        <f>-MAX(Forecast!F9,0)*B6</f>
        <v>-270457463.66895455</v>
      </c>
    </row>
    <row r="8" spans="1:2" x14ac:dyDescent="0.25">
      <c r="A8" t="s">
        <v>59</v>
      </c>
      <c r="B8" s="18">
        <f>IF(OR(Assumptions!$B$33=0,Assumptions!B12&lt;=0),B5,MAX(B5+B7,0))</f>
        <v>692091218.4587791</v>
      </c>
    </row>
    <row r="9" spans="1:2" x14ac:dyDescent="0.25">
      <c r="A9" t="s">
        <v>60</v>
      </c>
      <c r="B9" s="18">
        <f>B8*(1+Assumptions!B12)/(Assumptions!B26-Assumptions!B12)</f>
        <v>11088756010.427134</v>
      </c>
    </row>
    <row r="10" spans="1:2" x14ac:dyDescent="0.25">
      <c r="A10" t="s">
        <v>61</v>
      </c>
      <c r="B10" s="18">
        <f>B9/(1+Assumptions!B26)^(5-0.5*Assumptions!B32)</f>
        <v>7556206167.328186</v>
      </c>
    </row>
    <row r="11" spans="1:2" x14ac:dyDescent="0.25">
      <c r="A11" t="s">
        <v>62</v>
      </c>
      <c r="B11" s="18">
        <f>Forecast!B17+B10</f>
        <v>12881555567.244474</v>
      </c>
    </row>
    <row r="12" spans="1:2" x14ac:dyDescent="0.25">
      <c r="A12" t="s">
        <v>63</v>
      </c>
      <c r="B12" s="18">
        <f>-Assumptions!B30</f>
        <v>-6029000000</v>
      </c>
    </row>
    <row r="13" spans="1:2" x14ac:dyDescent="0.25">
      <c r="A13" t="s">
        <v>64</v>
      </c>
      <c r="B13" s="18">
        <f>B11+B12</f>
        <v>6852555567.244474</v>
      </c>
    </row>
    <row r="14" spans="1:2" x14ac:dyDescent="0.25">
      <c r="A14" s="19" t="s">
        <v>65</v>
      </c>
      <c r="B14" s="24">
        <f>B13/Assumptions!B31</f>
        <v>26.767795184548728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1433199000.8050857</v>
      </c>
    </row>
    <row r="18" spans="1:2" x14ac:dyDescent="0.25">
      <c r="A18" t="s">
        <v>60</v>
      </c>
      <c r="B18" s="18">
        <f>B17*Assumptions!B13</f>
        <v>21606222692.031757</v>
      </c>
    </row>
    <row r="19" spans="1:2" x14ac:dyDescent="0.25">
      <c r="A19" t="s">
        <v>61</v>
      </c>
      <c r="B19" s="18">
        <f>B18/(1+Assumptions!B26)^(5-0.5*Assumptions!B32)</f>
        <v>14723118896.716335</v>
      </c>
    </row>
    <row r="20" spans="1:2" x14ac:dyDescent="0.25">
      <c r="A20" t="s">
        <v>62</v>
      </c>
      <c r="B20" s="18">
        <f>Forecast!B17+B19</f>
        <v>20048468296.63262</v>
      </c>
    </row>
    <row r="21" spans="1:2" x14ac:dyDescent="0.25">
      <c r="A21" t="s">
        <v>63</v>
      </c>
      <c r="B21" s="18">
        <f>-Assumptions!B30</f>
        <v>-6029000000</v>
      </c>
    </row>
    <row r="22" spans="1:2" x14ac:dyDescent="0.25">
      <c r="A22" t="s">
        <v>64</v>
      </c>
      <c r="B22" s="18">
        <f>B20+B21</f>
        <v>14019468296.632622</v>
      </c>
    </row>
    <row r="23" spans="1:2" x14ac:dyDescent="0.25">
      <c r="A23" s="19" t="s">
        <v>65</v>
      </c>
      <c r="B23" s="25">
        <f>B22/Assumptions!B31</f>
        <v>54.76354803372118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82.96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26.767795184548728</v>
      </c>
    </row>
    <row r="29" spans="1:2" x14ac:dyDescent="0.25">
      <c r="A29" s="19" t="s">
        <v>73</v>
      </c>
      <c r="B29" s="12">
        <f>B28/B26-1</f>
        <v>-0.6773409452200008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0.068974</v>
      </c>
      <c r="B5" s="31">
        <v>39.12539336940217</v>
      </c>
      <c r="C5" s="31">
        <v>39.32728354691603</v>
      </c>
      <c r="D5" s="31">
        <v>39.5291737244299</v>
      </c>
      <c r="E5" s="31">
        <v>39.73106390194377</v>
      </c>
      <c r="F5" s="31">
        <v>39.93295407945763</v>
      </c>
    </row>
    <row r="6" spans="1:6" x14ac:dyDescent="0.25">
      <c r="A6" s="30">
        <v>0.078974</v>
      </c>
      <c r="B6" s="31">
        <v>32.01338250768145</v>
      </c>
      <c r="C6" s="31">
        <v>32.182473004050884</v>
      </c>
      <c r="D6" s="31">
        <v>32.3515635004203</v>
      </c>
      <c r="E6" s="31">
        <v>32.520653996789704</v>
      </c>
      <c r="F6" s="31">
        <v>32.689744493159125</v>
      </c>
    </row>
    <row r="7" spans="1:6" x14ac:dyDescent="0.25">
      <c r="A7" s="30">
        <v>0.088974</v>
      </c>
      <c r="B7" s="31">
        <v>26.479893116025835</v>
      </c>
      <c r="C7" s="31">
        <v>26.623875986858987</v>
      </c>
      <c r="D7" s="32">
        <v>26.767858857692115</v>
      </c>
      <c r="E7" s="31">
        <v>26.911841728525268</v>
      </c>
      <c r="F7" s="31">
        <v>27.05582459935841</v>
      </c>
    </row>
    <row r="8" spans="1:6" x14ac:dyDescent="0.25">
      <c r="A8" s="30">
        <v>0.098974</v>
      </c>
      <c r="B8" s="31">
        <v>22.047392276162682</v>
      </c>
      <c r="C8" s="31">
        <v>22.171611336618827</v>
      </c>
      <c r="D8" s="31">
        <v>22.295830397074962</v>
      </c>
      <c r="E8" s="31">
        <v>22.42004945753111</v>
      </c>
      <c r="F8" s="31">
        <v>22.544268517987238</v>
      </c>
    </row>
    <row r="9" spans="1:6" x14ac:dyDescent="0.25">
      <c r="A9" s="30">
        <v>0.108974</v>
      </c>
      <c r="B9" s="31">
        <v>18.413576964954757</v>
      </c>
      <c r="C9" s="31">
        <v>18.52189074473326</v>
      </c>
      <c r="D9" s="31">
        <v>18.630204524511775</v>
      </c>
      <c r="E9" s="31">
        <v>18.73851830429028</v>
      </c>
      <c r="F9" s="31">
        <v>18.84683208406879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10890000000</v>
      </c>
      <c r="C5" s="18">
        <v>11484000000</v>
      </c>
      <c r="D5" s="18">
        <v>11479000000</v>
      </c>
      <c r="E5" s="18">
        <v>12440000000</v>
      </c>
      <c r="F5" s="8" t="s">
        <v>84</v>
      </c>
    </row>
    <row r="6" spans="1:6" x14ac:dyDescent="0.25">
      <c r="A6" t="s">
        <v>44</v>
      </c>
      <c r="B6" s="18">
        <v>842000000</v>
      </c>
      <c r="C6" s="18">
        <v>848000000</v>
      </c>
      <c r="D6" s="18">
        <v>578000000</v>
      </c>
      <c r="E6" s="18">
        <v>1053000000</v>
      </c>
      <c r="F6" s="8" t="s">
        <v>85</v>
      </c>
    </row>
    <row r="7" spans="1:6" x14ac:dyDescent="0.25">
      <c r="A7" t="s">
        <v>86</v>
      </c>
      <c r="B7" s="18">
        <v>962000000</v>
      </c>
      <c r="C7" s="18">
        <v>1015000000</v>
      </c>
      <c r="D7" s="18">
        <v>1142000000</v>
      </c>
      <c r="E7" s="18">
        <v>1179000000</v>
      </c>
      <c r="F7" s="8" t="s">
        <v>87</v>
      </c>
    </row>
    <row r="8" spans="1:6" x14ac:dyDescent="0.25">
      <c r="A8" t="s">
        <v>88</v>
      </c>
      <c r="B8" s="18">
        <v>596000000</v>
      </c>
      <c r="C8" s="18">
        <v>468000000</v>
      </c>
      <c r="D8" s="18">
        <v>503000000</v>
      </c>
      <c r="E8" s="18">
        <v>506000000</v>
      </c>
      <c r="F8" s="8" t="s">
        <v>89</v>
      </c>
    </row>
    <row r="9" spans="1:6" x14ac:dyDescent="0.25">
      <c r="A9" t="s">
        <v>90</v>
      </c>
      <c r="B9" s="18">
        <v>421000000</v>
      </c>
      <c r="C9" s="18">
        <v>86000000</v>
      </c>
      <c r="D9" s="18">
        <v>-555000000</v>
      </c>
      <c r="E9" s="18">
        <v>1031000000</v>
      </c>
      <c r="F9" s="8" t="s">
        <v>91</v>
      </c>
    </row>
    <row r="10" spans="1:6" x14ac:dyDescent="0.25">
      <c r="A10" t="s">
        <v>92</v>
      </c>
      <c r="B10" s="18">
        <v>6619000000</v>
      </c>
      <c r="C10" s="18">
        <v>9609000000</v>
      </c>
      <c r="D10" s="18">
        <v>10798000000</v>
      </c>
      <c r="E10" s="18">
        <v>11728000000</v>
      </c>
      <c r="F10" s="8" t="s">
        <v>93</v>
      </c>
    </row>
    <row r="11" spans="1:6" x14ac:dyDescent="0.25">
      <c r="A11" t="s">
        <v>94</v>
      </c>
      <c r="B11" s="18">
        <v>590000000</v>
      </c>
      <c r="C11" s="18">
        <v>469000000</v>
      </c>
      <c r="D11" s="18">
        <v>703000000</v>
      </c>
      <c r="E11" s="18">
        <v>483000000</v>
      </c>
      <c r="F11" s="8" t="s">
        <v>95</v>
      </c>
    </row>
    <row r="12" spans="1:6" x14ac:dyDescent="0.25">
      <c r="A12" t="s">
        <v>32</v>
      </c>
      <c r="B12" s="34">
        <v>256000000</v>
      </c>
      <c r="C12" s="34">
        <v>256000000</v>
      </c>
      <c r="D12" s="34">
        <v>255000000</v>
      </c>
      <c r="E12" s="34">
        <v>255000000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2026-09-19T00:06:35Z</dcterms:modified>
</cp:coreProperties>
</file>