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<sst xmlns="http://schemas.openxmlformats.org/spreadsheetml/2006/main" count="119" uniqueCount="106">
  <si>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International Flavors &amp; Fragrances Inc. (IFF)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</si>
  <si>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</si>
  <si>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</si>
  <si>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</si>
  <si>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</si>
  <si>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</si>
  <si>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</si>
  <si>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</si>
  <si>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</si>
  <si>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</si>
  <si>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</si>
  <si>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</si>
  <si>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</si>
  <si>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</si>
  <si>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</si>
  <si>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</si>
  <si>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</si>
  <si>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</si>
  <si>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</si>
  <si>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</si>
  <si>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</si>
  <si>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</si>
  <si>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</si>
  <si>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</si>
  <si>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3.7x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</si>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</sst>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-0.30316795959595955</v>
      </c>
    </row>
    <row r="7" spans="1:2" x14ac:dyDescent="0.25">
      <c r="A7" t="s">
        <v>4</v>
      </c>
      <c r="B7" s="5">
        <v>0.07153990708521536</v>
      </c>
    </row>
    <row r="8" spans="1:2" x14ac:dyDescent="0.25">
      <c r="A8" t="s">
        <v>5</v>
      </c>
      <c r="B8" s="5">
        <v>0.1331168831168831</v>
      </c>
    </row>
    <row r="9" spans="1:2" x14ac:dyDescent="0.25">
      <c r="A9" t="s">
        <v>6</v>
      </c>
      <c r="B9" s="5">
        <v>0.09274567516134036</v>
      </c>
    </row>
    <row r="10" spans="1:3" x14ac:dyDescent="0.25">
      <c r="A10" t="s">
        <v>7</v>
      </c>
      <c r="B10" s="5">
        <v>0.04499396238467682</v>
      </c>
      <c r="C10" s="6" t="s">
        <v>8</v>
      </c>
    </row>
    <row r="11" spans="1:2" x14ac:dyDescent="0.25">
      <c r="A11" t="s">
        <v>9</v>
      </c>
      <c r="B11" s="5">
        <v>0.25898921422446597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16.498364062084256</v>
      </c>
    </row>
    <row r="14" spans="1:3" x14ac:dyDescent="0.25">
      <c r="A14" t="s">
        <v>12</v>
      </c>
      <c r="B14" s="5">
        <v>0.08068198242853489</v>
      </c>
      <c r="C14" s="6" t="s">
        <v>13</v>
      </c>
    </row>
    <row r="15" spans="1:3" x14ac:dyDescent="0.25">
      <c r="A15" t="s">
        <v>14</v>
      </c>
      <c r="B15" s="5">
        <v>0.03700706319257522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0.95176</v>
      </c>
      <c r="C19" s="6" t="s">
        <v>21</v>
      </c>
    </row>
    <row r="20" spans="1:2" x14ac:dyDescent="0.25">
      <c r="A20" t="s">
        <v>22</v>
      </c>
      <c r="B20" s="9">
        <f>B17+B19*B18</f>
        <v>0.089199448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23734048768</v>
      </c>
    </row>
    <row r="23" spans="1:2" x14ac:dyDescent="0.25">
      <c r="A23" t="s">
        <v>26</v>
      </c>
      <c r="B23" s="10">
        <v>6619000000</v>
      </c>
    </row>
    <row r="24" spans="1:2" x14ac:dyDescent="0.25">
      <c r="A24" t="s">
        <v>27</v>
      </c>
      <c r="B24" s="9">
        <f>B22/(B22+B23)</f>
        <v>0.7819329435210427</v>
      </c>
    </row>
    <row r="25" spans="1:2" x14ac:dyDescent="0.25">
      <c r="A25" t="s">
        <v>28</v>
      </c>
      <c r="B25" s="9">
        <f>1-B24</f>
        <v>0.2180670564789573</v>
      </c>
    </row>
    <row r="26" spans="1:2" x14ac:dyDescent="0.25">
      <c r="A26" t="s">
        <v>29</v>
      </c>
      <c r="B26" s="11">
        <f>B24*B20+B25*B21*(1-B8)</f>
        <v>0.08068198242853489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10890000000</v>
      </c>
      <c r="C29" s="6" t="s">
        <v>32</v>
      </c>
    </row>
    <row r="30" spans="1:2" x14ac:dyDescent="0.25">
      <c r="A30" t="s">
        <v>33</v>
      </c>
      <c r="B30" s="10">
        <v>6029000000</v>
      </c>
    </row>
    <row r="31" spans="1:2" x14ac:dyDescent="0.25">
      <c r="A31" t="s">
        <v>34</v>
      </c>
      <c r="B31" s="12">
        <v>256000000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-0.30316795959595955</v>
      </c>
      <c r="C5" s="5">
        <v>0.03251144100803516</v>
      </c>
      <c r="D5" s="5">
        <v>0.031572510882030766</v>
      </c>
      <c r="E5" s="5">
        <v>0.030633580756026367</v>
      </c>
      <c r="F5" s="5">
        <v>0.029694650630021975</v>
      </c>
      <c r="G5" s="5">
        <v>0.02875572050401758</v>
      </c>
      <c r="H5" s="5">
        <v>0.027816790378013184</v>
      </c>
      <c r="I5" s="5">
        <v>0.026877860252008792</v>
      </c>
      <c r="J5" s="5">
        <v>0.025938930126004397</v>
      </c>
      <c r="K5" s="5">
        <v>0.025</v>
      </c>
    </row>
    <row r="6" spans="1:11" x14ac:dyDescent="0.25">
      <c r="A6" t="s">
        <v>50</v>
      </c>
      <c r="B6" s="18">
        <f>Assumptions!B29*(1+B5)</f>
        <v>7588500920.000001</v>
      </c>
      <c r="C6" s="18">
        <f>B6*(1+C5)</f>
        <v>7835214020.000002</v>
      </c>
      <c r="D6" s="18">
        <f>C6*(1+D5)</f>
        <v>8082591399.9094925</v>
      </c>
      <c r="E6" s="18">
        <f>D6*(1+E5)</f>
        <v>8330190116.276584</v>
      </c>
      <c r="F6" s="18">
        <f>E6*(1+F5)</f>
        <v>8577552201.461079</v>
      </c>
      <c r="G6" s="18">
        <f>F6*(1+G5)</f>
        <v>8824205895.174915</v>
      </c>
      <c r="H6" s="18">
        <f>G6*(1+H5)</f>
        <v>9069666980.813423</v>
      </c>
      <c r="I6" s="18">
        <f>H6*(1+I5)</f>
        <v>9313440222.455984</v>
      </c>
      <c r="J6" s="18">
        <f>I6*(1+J5)</f>
        <v>9555020897.61899</v>
      </c>
      <c r="K6" s="18">
        <f>J6*(1+K5)</f>
        <v>9793896420.059464</v>
      </c>
    </row>
    <row r="7" spans="1:11" x14ac:dyDescent="0.25">
      <c r="A7" t="s">
        <v>4</v>
      </c>
      <c r="B7" s="9">
        <f>Assumptions!B7</f>
        <v>0.07153990708521536</v>
      </c>
      <c r="C7" s="9">
        <f>Assumptions!B7</f>
        <v>0.07153990708521536</v>
      </c>
      <c r="D7" s="9">
        <f>Assumptions!B7</f>
        <v>0.07153990708521536</v>
      </c>
      <c r="E7" s="9">
        <f>Assumptions!B7</f>
        <v>0.07153990708521536</v>
      </c>
      <c r="F7" s="9">
        <f>Assumptions!B7</f>
        <v>0.07153990708521536</v>
      </c>
      <c r="G7" s="9">
        <f>Assumptions!B7</f>
        <v>0.07153990708521536</v>
      </c>
      <c r="H7" s="9">
        <f>Assumptions!B7</f>
        <v>0.07153990708521536</v>
      </c>
      <c r="I7" s="9">
        <f>Assumptions!B7</f>
        <v>0.07153990708521536</v>
      </c>
      <c r="J7" s="9">
        <f>Assumptions!B7</f>
        <v>0.07153990708521536</v>
      </c>
      <c r="K7" s="9">
        <f>Assumptions!B7</f>
        <v>0.07153990708521536</v>
      </c>
    </row>
    <row r="8" spans="1:11" x14ac:dyDescent="0.25">
      <c r="A8" t="s">
        <v>51</v>
      </c>
      <c r="B8" s="18">
        <f>B6*B7</f>
        <v>542880650.7328714</v>
      </c>
      <c r="C8" s="18">
        <f>C6*C7</f>
        <v>560530482.9835769</v>
      </c>
      <c r="D8" s="18">
        <f>D6*D7</f>
        <v>578227837.7572858</v>
      </c>
      <c r="E8" s="18">
        <f>E6*E7</f>
        <v>595941026.9206061</v>
      </c>
      <c r="F8" s="18">
        <f>F6*F7</f>
        <v>613637287.5111101</v>
      </c>
      <c r="G8" s="18">
        <f>G6*G7</f>
        <v>631282869.8416231</v>
      </c>
      <c r="H8" s="18">
        <f>H6*H7</f>
        <v>648843133.101238</v>
      </c>
      <c r="I8" s="18">
        <f>I6*I7</f>
        <v>666282648.1582086</v>
      </c>
      <c r="J8" s="18">
        <f>J6*J7</f>
        <v>683565307.2129537</v>
      </c>
      <c r="K8" s="18">
        <f>K6*K7</f>
        <v>700654439.8932774</v>
      </c>
    </row>
    <row r="9" spans="1:11" x14ac:dyDescent="0.25">
      <c r="A9" t="s">
        <v>52</v>
      </c>
      <c r="B9" s="18">
        <f>B8*(1-Assumptions!B8)</f>
        <v>470614070.6028463</v>
      </c>
      <c r="C9" s="18">
        <f>C8*(1-Assumptions!B8)</f>
        <v>485914412.1968021</v>
      </c>
      <c r="D9" s="18">
        <f>D8*(1-Assumptions!B8)</f>
        <v>501255950.2636212</v>
      </c>
      <c r="E9" s="18">
        <f>E8*(1-Assumptions!B8)</f>
        <v>516611214.89546055</v>
      </c>
      <c r="F9" s="18">
        <f>F8*(1-Assumptions!B8)</f>
        <v>531951804.43333244</v>
      </c>
      <c r="G9" s="18">
        <f>G8*(1-Assumptions!B8)</f>
        <v>547248461.8432252</v>
      </c>
      <c r="H9" s="18">
        <f>H8*(1-Assumptions!B8)</f>
        <v>562471157.5910083</v>
      </c>
      <c r="I9" s="18">
        <f>I8*(1-Assumptions!B8)</f>
        <v>577589178.760525</v>
      </c>
      <c r="J9" s="18">
        <f>J8*(1-Assumptions!B8)</f>
        <v>592571224.1099306</v>
      </c>
      <c r="K9" s="18">
        <f>K8*(1-Assumptions!B8)</f>
        <v>607385504.7126788</v>
      </c>
    </row>
    <row r="10" spans="1:11" x14ac:dyDescent="0.25">
      <c r="A10" t="s">
        <v>53</v>
      </c>
      <c r="B10" s="18">
        <f>B6*Assumptions!B9</f>
        <v>703800641.2878525</v>
      </c>
      <c r="C10" s="18">
        <f>C6*Assumptions!B9</f>
        <v>726682214.3184999</v>
      </c>
      <c r="D10" s="18">
        <f>D6*Assumptions!B9</f>
        <v>749625396.437849</v>
      </c>
      <c r="E10" s="18">
        <f>E6*Assumptions!B9</f>
        <v>772589106.5563961</v>
      </c>
      <c r="F10" s="18">
        <f>F6*Assumptions!B9</f>
        <v>795530870.156149</v>
      </c>
      <c r="G10" s="18">
        <f>G6*Assumptions!B9</f>
        <v>818406933.5106773</v>
      </c>
      <c r="H10" s="18">
        <f>H6*Assumptions!B9</f>
        <v>841172387.6240563</v>
      </c>
      <c r="I10" s="18">
        <f>I6*Assumptions!B9</f>
        <v>863781301.5064641</v>
      </c>
      <c r="J10" s="18">
        <f>J6*Assumptions!B9</f>
        <v>886186864.3303896</v>
      </c>
      <c r="K10" s="18">
        <f>K6*Assumptions!B9</f>
        <v>908341535.9386492</v>
      </c>
    </row>
    <row r="11" spans="1:11" x14ac:dyDescent="0.25">
      <c r="A11" t="s">
        <v>54</v>
      </c>
      <c r="B11" s="18">
        <f>-B6*B19</f>
        <v>-341436724.95056546</v>
      </c>
      <c r="C11" s="18">
        <f>-C6*C19</f>
        <v>-375347832.6578589</v>
      </c>
      <c r="D11" s="18">
        <f>-D6*D19</f>
        <v>-410729198.9597516</v>
      </c>
      <c r="E11" s="18">
        <f>-E6*E19</f>
        <v>-447562827.19293714</v>
      </c>
      <c r="F11" s="18">
        <f>-F6*F19</f>
        <v>-485824711.6068412</v>
      </c>
      <c r="G11" s="18">
        <f>-G6*G19</f>
        <v>-525484692.0041548</v>
      </c>
      <c r="H11" s="18">
        <f>-H6*H19</f>
        <v>-566506336.4389341</v>
      </c>
      <c r="I11" s="18">
        <f>-I6*I19</f>
        <v>-608846853.8383665</v>
      </c>
      <c r="J11" s="18">
        <f>-J6*J19</f>
        <v>-652457038.2639817</v>
      </c>
      <c r="K11" s="18">
        <f>-K6*K19</f>
        <v>-697281246.3577067</v>
      </c>
    </row>
    <row r="12" spans="1:11" x14ac:dyDescent="0.25">
      <c r="A12" t="s">
        <v>55</v>
      </c>
      <c r="B12" s="18">
        <f>-(B6-Assumptions!B29)*Assumptions!B11</f>
        <v>855052652.491997</v>
      </c>
      <c r="C12" s="18">
        <f>-(C6-B6)*Assumptions!B11</f>
        <v>-63896031.90788234</v>
      </c>
      <c r="D12" s="18">
        <f>-(D6-C6)*Assumptions!B11</f>
        <v>-64068073.239666164</v>
      </c>
      <c r="E12" s="18">
        <f>-(E6-D6)*Assumptions!B11</f>
        <v>-64125396.99489936</v>
      </c>
      <c r="F12" s="18">
        <f>-(F6-E6)*Assumptions!B11</f>
        <v>-64064112.07085777</v>
      </c>
      <c r="G12" s="18">
        <f>-(G6-F6)*Assumptions!B11</f>
        <v>-63880646.32050866</v>
      </c>
      <c r="H12" s="18">
        <f>-(H6-G6)*Assumptions!B11</f>
        <v>-63571773.692201495</v>
      </c>
      <c r="I12" s="18">
        <f>-(I6-H6)*Assumptions!B11</f>
        <v>-63134640.30195773</v>
      </c>
      <c r="J12" s="18">
        <f>-(J6-I6)*Assumptions!B11</f>
        <v>-62566789.23228284</v>
      </c>
      <c r="K12" s="18">
        <f>-(K6-J6)*Assumptions!B11</f>
        <v>-61866183.85431703</v>
      </c>
    </row>
    <row r="13" spans="1:11" x14ac:dyDescent="0.25">
      <c r="A13" s="19" t="s">
        <v>56</v>
      </c>
      <c r="B13" s="20">
        <f>B9+B10+B11+B12</f>
        <v>1688030639.4321303</v>
      </c>
      <c r="C13" s="20">
        <f>C9+C10+C11+C12</f>
        <v>773352761.9495608</v>
      </c>
      <c r="D13" s="20">
        <f>D9+D10+D11+D12</f>
        <v>776084074.5020525</v>
      </c>
      <c r="E13" s="20">
        <f>E9+E10+E11+E12</f>
        <v>777512097.2640201</v>
      </c>
      <c r="F13" s="20">
        <f>F9+F10+F11+F12</f>
        <v>777593850.9117824</v>
      </c>
      <c r="G13" s="20">
        <f>G9+G10+G11+G12</f>
        <v>776290057.0292392</v>
      </c>
      <c r="H13" s="20">
        <f>H9+H10+H11+H12</f>
        <v>773565435.083929</v>
      </c>
      <c r="I13" s="20">
        <f>I9+I10+I11+I12</f>
        <v>769388986.126665</v>
      </c>
      <c r="J13" s="20">
        <f>J9+J10+J11+J12</f>
        <v>763734260.9440557</v>
      </c>
      <c r="K13" s="20">
        <f>K9+K10+K11+K12</f>
        <v>756579610.4393044</v>
      </c>
    </row>
    <row r="14" spans="1:11" x14ac:dyDescent="0.25">
      <c r="A14" t="s">
        <v>57</v>
      </c>
      <c r="B14" s="21">
        <f>1/(1+Assumptions!$B$26)^(1-0.5*Assumptions!$B$32)</f>
        <v>0.9619467786180187</v>
      </c>
      <c r="C14" s="21">
        <f>1/(1+Assumptions!$B$26)^(2-0.5*Assumptions!$B$32)</f>
        <v>0.8901293759486102</v>
      </c>
      <c r="D14" s="21">
        <f>1/(1+Assumptions!$B$26)^(3-0.5*Assumptions!$B$32)</f>
        <v>0.8236737453032109</v>
      </c>
      <c r="E14" s="21">
        <f>1/(1+Assumptions!$B$26)^(4-0.5*Assumptions!$B$32)</f>
        <v>0.762179585387582</v>
      </c>
      <c r="F14" s="21">
        <f>1/(1+Assumptions!$B$26)^(5-0.5*Assumptions!$B$32)</f>
        <v>0.7052764807596712</v>
      </c>
      <c r="G14" s="21">
        <f>1/(1+Assumptions!$B$26)^(6-0.5*Assumptions!$B$32)</f>
        <v>0.6526216705998528</v>
      </c>
      <c r="H14" s="21">
        <f>1/(1+Assumptions!$B$26)^(7-0.5*Assumptions!$B$32)</f>
        <v>0.6038979840611993</v>
      </c>
      <c r="I14" s="21">
        <f>1/(1+Assumptions!$B$26)^(8-0.5*Assumptions!$B$32)</f>
        <v>0.5588119297631899</v>
      </c>
      <c r="J14" s="21">
        <f>1/(1+Assumptions!$B$26)^(9-0.5*Assumptions!$B$32)</f>
        <v>0.5170919279207506</v>
      </c>
      <c r="K14" s="21">
        <f>1/(1+Assumptions!$B$26)^(10-0.5*Assumptions!$B$32)</f>
        <v>0.4784866744597046</v>
      </c>
    </row>
    <row r="15" spans="1:11" x14ac:dyDescent="0.25">
      <c r="A15" s="19" t="s">
        <v>58</v>
      </c>
      <c r="B15" s="20">
        <f>B13*B14</f>
        <v>1623795635.810252</v>
      </c>
      <c r="C15" s="20">
        <f>C13*C14</f>
        <v>688384011.3822966</v>
      </c>
      <c r="D15" s="20">
        <f>D13*D14</f>
        <v>639240076.3152817</v>
      </c>
      <c r="E15" s="20">
        <f>E13*E14</f>
        <v>592603847.9265202</v>
      </c>
      <c r="F15" s="20">
        <f>F13*F14</f>
        <v>548418654.6314223</v>
      </c>
      <c r="G15" s="20">
        <f>G13*G14</f>
        <v>506623713.888477</v>
      </c>
      <c r="H15" s="20">
        <f>H13*H14</f>
        <v>467154606.78660923</v>
      </c>
      <c r="I15" s="20">
        <f>I13*I14</f>
        <v>429943744.07598585</v>
      </c>
      <c r="J15" s="20">
        <f>J13*J14</f>
        <v>394920821.4106914</v>
      </c>
      <c r="K15" s="20">
        <f>K13*K14</f>
        <v>362013261.76312155</v>
      </c>
    </row>
    <row r="17" spans="1:2" x14ac:dyDescent="0.25">
      <c r="A17" s="22" t="s">
        <v>59</v>
      </c>
      <c r="B17" s="23">
        <f>SUM(B15:K15)</f>
        <v>6253098373.990659</v>
      </c>
    </row>
    <row r="19" spans="1:11" x14ac:dyDescent="0.25">
      <c r="A19" t="s">
        <v>7</v>
      </c>
      <c r="B19" s="9">
        <f>Assumptions!$B$10+($B$20-Assumptions!$B$10)*0/9</f>
        <v>0.04499396238467682</v>
      </c>
      <c r="C19" s="9">
        <f>Assumptions!$B$10+($B$20-Assumptions!$B$10)*1/9</f>
        <v>0.04790524313691419</v>
      </c>
      <c r="D19" s="9">
        <f>Assumptions!$B$10+($B$20-Assumptions!$B$10)*2/9</f>
        <v>0.05081652388915155</v>
      </c>
      <c r="E19" s="9">
        <f>Assumptions!$B$10+($B$20-Assumptions!$B$10)*3/9</f>
        <v>0.05372780464138892</v>
      </c>
      <c r="F19" s="9">
        <f>Assumptions!$B$10+($B$20-Assumptions!$B$10)*4/9</f>
        <v>0.05663908539362629</v>
      </c>
      <c r="G19" s="9">
        <f>Assumptions!$B$10+($B$20-Assumptions!$B$10)*5/9</f>
        <v>0.05955036614586366</v>
      </c>
      <c r="H19" s="9">
        <f>Assumptions!$B$10+($B$20-Assumptions!$B$10)*6/9</f>
        <v>0.06246164689810103</v>
      </c>
      <c r="I19" s="9">
        <f>Assumptions!$B$10+($B$20-Assumptions!$B$10)*7/9</f>
        <v>0.06537292765033839</v>
      </c>
      <c r="J19" s="9">
        <f>Assumptions!$B$10+($B$20-Assumptions!$B$10)*8/9</f>
        <v>0.06828420840257576</v>
      </c>
      <c r="K19" s="9">
        <f>Assumptions!$B$10+($B$20-Assumptions!$B$10)*9/9</f>
        <v>0.07119548915481314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0.07119548915481314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756579610.4393044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1080615431.0851874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0.3098585241400591</v>
      </c>
    </row>
    <row r="7" spans="1:2" x14ac:dyDescent="0.25">
      <c r="A7" t="s">
        <v>66</v>
      </c>
      <c r="B7" s="18">
        <f>-MAX(B5,0)*B6</f>
        <v>-334837902.6390299</v>
      </c>
    </row>
    <row r="8" spans="1:2" x14ac:dyDescent="0.25">
      <c r="A8" t="s">
        <v>67</v>
      </c>
      <c r="B8" s="18">
        <f>IF(OR(Assumptions!$B$33=0,Assumptions!B12&lt;=0),B5,MAX(B5+B7,0))</f>
        <v>745777528.4461575</v>
      </c>
    </row>
    <row r="9" spans="1:2" x14ac:dyDescent="0.25">
      <c r="A9" t="s">
        <v>68</v>
      </c>
      <c r="B9" s="18">
        <f>B8*(1+Assumptions!B12)/(Assumptions!B26-Assumptions!B12)</f>
        <v>13728354008.200224</v>
      </c>
    </row>
    <row r="10" spans="1:2" x14ac:dyDescent="0.25">
      <c r="A10" t="s">
        <v>69</v>
      </c>
      <c r="B10" s="18">
        <f>B9/(1+Assumptions!B26)^(10-0.5*Assumptions!B32)</f>
        <v>6568834455.189281</v>
      </c>
    </row>
    <row r="11" spans="1:2" x14ac:dyDescent="0.25">
      <c r="A11" t="s">
        <v>70</v>
      </c>
      <c r="B11" s="18">
        <f>Forecast!B17+B10</f>
        <v>12821932829.17994</v>
      </c>
    </row>
    <row r="12" spans="1:2" x14ac:dyDescent="0.25">
      <c r="A12" t="s">
        <v>71</v>
      </c>
      <c r="B12" s="18">
        <f>-Assumptions!B30</f>
        <v>-6029000000</v>
      </c>
    </row>
    <row r="13" spans="1:2" x14ac:dyDescent="0.25">
      <c r="A13" t="s">
        <v>72</v>
      </c>
      <c r="B13" s="18">
        <f>B11+B12</f>
        <v>6792932829.179939</v>
      </c>
    </row>
    <row r="14" spans="1:2" x14ac:dyDescent="0.25">
      <c r="A14" s="19" t="s">
        <v>73</v>
      </c>
      <c r="B14" s="24">
        <f>B13/Assumptions!B31</f>
        <v>26.534893863984138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1608995975.8319266</v>
      </c>
    </row>
    <row r="18" spans="1:2" x14ac:dyDescent="0.25">
      <c r="A18" t="s">
        <v>68</v>
      </c>
      <c r="B18" s="18">
        <f>B17*Assumptions!B13</f>
        <v>26545801383.703648</v>
      </c>
    </row>
    <row r="19" spans="1:2" x14ac:dyDescent="0.25">
      <c r="A19" t="s">
        <v>69</v>
      </c>
      <c r="B19" s="18">
        <f>B18/(1+Assumptions!B26)^(10-0.5*Assumptions!B32)</f>
        <v>12701812224.956182</v>
      </c>
    </row>
    <row r="20" spans="1:2" x14ac:dyDescent="0.25">
      <c r="A20" t="s">
        <v>70</v>
      </c>
      <c r="B20" s="18">
        <f>Forecast!B17+B19</f>
        <v>18954910598.946842</v>
      </c>
    </row>
    <row r="21" spans="1:2" x14ac:dyDescent="0.25">
      <c r="A21" t="s">
        <v>71</v>
      </c>
      <c r="B21" s="18">
        <f>-Assumptions!B30</f>
        <v>-6029000000</v>
      </c>
    </row>
    <row r="22" spans="1:2" x14ac:dyDescent="0.25">
      <c r="A22" t="s">
        <v>72</v>
      </c>
      <c r="B22" s="18">
        <f>B20+B21</f>
        <v>12925910598.946842</v>
      </c>
    </row>
    <row r="23" spans="1:2" x14ac:dyDescent="0.25">
      <c r="A23" s="19" t="s">
        <v>73</v>
      </c>
      <c r="B23" s="25">
        <f>B22/Assumptions!B31</f>
        <v>50.491838277136104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93.02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26.534893863984138</v>
      </c>
    </row>
    <row r="29" spans="1:2" x14ac:dyDescent="0.25">
      <c r="A29" s="19" t="s">
        <v>81</v>
      </c>
      <c r="B29" s="11">
        <f>B28/B26-1</f>
        <v>-0.7147399068589106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0.060682</v>
      </c>
      <c r="B5" s="31">
        <v>43.88773349454971</v>
      </c>
      <c r="C5" s="31">
        <v>42.999783236945525</v>
      </c>
      <c r="D5" s="31">
        <v>42.111832979341315</v>
      </c>
      <c r="E5" s="31">
        <v>41.22388272173714</v>
      </c>
      <c r="F5" s="31">
        <v>40.33593246413295</v>
      </c>
    </row>
    <row r="6" spans="1:6" x14ac:dyDescent="0.25">
      <c r="A6" s="30">
        <v>0.070682</v>
      </c>
      <c r="B6" s="31">
        <v>34.65755449042533</v>
      </c>
      <c r="C6" s="31">
        <v>33.93713365904293</v>
      </c>
      <c r="D6" s="31">
        <v>33.216712827660494</v>
      </c>
      <c r="E6" s="31">
        <v>32.49629199627809</v>
      </c>
      <c r="F6" s="31">
        <v>31.775871164895662</v>
      </c>
    </row>
    <row r="7" spans="1:6" x14ac:dyDescent="0.25">
      <c r="A7" s="30">
        <v>0.080682</v>
      </c>
      <c r="B7" s="31">
        <v>27.72880573586987</v>
      </c>
      <c r="C7" s="31">
        <v>27.131844660480915</v>
      </c>
      <c r="D7" s="32">
        <v>26.534883585091954</v>
      </c>
      <c r="E7" s="31">
        <v>25.937922509702997</v>
      </c>
      <c r="F7" s="31">
        <v>25.340961434314035</v>
      </c>
    </row>
    <row r="8" spans="1:6" x14ac:dyDescent="0.25">
      <c r="A8" s="30">
        <v>0.090682</v>
      </c>
      <c r="B8" s="31">
        <v>22.33907882435398</v>
      </c>
      <c r="C8" s="31">
        <v>21.836269782818036</v>
      </c>
      <c r="D8" s="31">
        <v>21.333460741282092</v>
      </c>
      <c r="E8" s="31">
        <v>20.830651699746145</v>
      </c>
      <c r="F8" s="31">
        <v>20.3278426582102</v>
      </c>
    </row>
    <row r="9" spans="1:6" x14ac:dyDescent="0.25">
      <c r="A9" s="30">
        <v>0.100682</v>
      </c>
      <c r="B9" s="31">
        <v>18.02894176117231</v>
      </c>
      <c r="C9" s="31">
        <v>17.599859254038005</v>
      </c>
      <c r="D9" s="31">
        <v>17.17077674690368</v>
      </c>
      <c r="E9" s="31">
        <v>16.74169423976937</v>
      </c>
      <c r="F9" s="31">
        <v>16.31261173263505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10890000000</v>
      </c>
      <c r="C5" s="18">
        <v>11484000000</v>
      </c>
      <c r="D5" s="18">
        <v>11479000000</v>
      </c>
      <c r="E5" s="18">
        <v>12440000000</v>
      </c>
      <c r="F5" s="6" t="s">
        <v>91</v>
      </c>
    </row>
    <row r="6" spans="1:6" x14ac:dyDescent="0.25">
      <c r="A6" t="s">
        <v>51</v>
      </c>
      <c r="B6" s="18">
        <v>842000000</v>
      </c>
      <c r="C6" s="18">
        <v>848000000</v>
      </c>
      <c r="D6" s="18">
        <v>578000000</v>
      </c>
      <c r="E6" s="18">
        <v>1053000000</v>
      </c>
      <c r="F6" s="6" t="s">
        <v>92</v>
      </c>
    </row>
    <row r="7" spans="1:6" x14ac:dyDescent="0.25">
      <c r="A7" t="s">
        <v>93</v>
      </c>
      <c r="B7" s="18">
        <v>962000000</v>
      </c>
      <c r="C7" s="18">
        <v>1015000000</v>
      </c>
      <c r="D7" s="18">
        <v>1142000000</v>
      </c>
      <c r="E7" s="18">
        <v>1179000000</v>
      </c>
      <c r="F7" s="6" t="s">
        <v>94</v>
      </c>
    </row>
    <row r="8" spans="1:6" x14ac:dyDescent="0.25">
      <c r="A8" t="s">
        <v>95</v>
      </c>
      <c r="B8" s="18">
        <v>596000000</v>
      </c>
      <c r="C8" s="18">
        <v>468000000</v>
      </c>
      <c r="D8" s="18">
        <v>503000000</v>
      </c>
      <c r="E8" s="18">
        <v>506000000</v>
      </c>
      <c r="F8" s="6" t="s">
        <v>96</v>
      </c>
    </row>
    <row r="9" spans="1:6" x14ac:dyDescent="0.25">
      <c r="A9" t="s">
        <v>97</v>
      </c>
      <c r="B9" s="18">
        <v>421000000</v>
      </c>
      <c r="C9" s="18">
        <v>86000000</v>
      </c>
      <c r="D9" s="18">
        <v>-555000000</v>
      </c>
      <c r="E9" s="18">
        <v>1031000000</v>
      </c>
      <c r="F9" s="6" t="s">
        <v>98</v>
      </c>
    </row>
    <row r="10" spans="1:6" x14ac:dyDescent="0.25">
      <c r="A10" t="s">
        <v>99</v>
      </c>
      <c r="B10" s="18">
        <v>6619000000</v>
      </c>
      <c r="C10" s="18">
        <v>9609000000</v>
      </c>
      <c r="D10" s="18">
        <v>10798000000</v>
      </c>
      <c r="E10" s="18">
        <v>11728000000</v>
      </c>
      <c r="F10" s="6" t="s">
        <v>100</v>
      </c>
    </row>
    <row r="11" spans="1:6" x14ac:dyDescent="0.25">
      <c r="A11" t="s">
        <v>101</v>
      </c>
      <c r="B11" s="18">
        <v>590000000</v>
      </c>
      <c r="C11" s="18">
        <v>469000000</v>
      </c>
      <c r="D11" s="18">
        <v>703000000</v>
      </c>
      <c r="E11" s="18">
        <v>483000000</v>
      </c>
      <c r="F11" s="6" t="s">
        <v>102</v>
      </c>
    </row>
    <row r="12" spans="1:6" x14ac:dyDescent="0.25">
      <c r="A12" t="s">
        <v>34</v>
      </c>
      <c r="B12" s="34">
        <v>256000000</v>
      </c>
      <c r="C12" s="34">
        <v>256000000</v>
      </c>
      <c r="D12" s="34">
        <v>255000000</v>
      </c>
      <c r="E12" s="34">
        <v>255000000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