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<sst xmlns="http://schemas.openxmlformats.org/spreadsheetml/2006/main" count="122" uniqueCount="109">
  <si>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Infratil Limited (IFT.AX)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</si>
  <si>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</si>
  <si>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</si>
  <si>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</si>
  <si>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</si>
  <si>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</si>
  <si>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</si>
  <si>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</si>
  <si>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</si>
  <si>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</si>
  <si>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</si>
  <si>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</si>
  <si>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</si>
  <si>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</si>
  <si>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</si>
  <si>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</si>
  <si>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</si>
  <si>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</si>
  <si>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Australian Government 10-year (RBA F2), 2026-10-28</t>
  </si>
  <si>
    <t>Equity risk premium</t>
  </si>
  <si>
    <t>Beta</t>
  </si>
  <si>
    <t>As reported</t>
  </si>
  <si>
    <t>Cost of equity</t>
  </si>
  <si>
    <t>Cost of debt</t>
  </si>
  <si>
    <t>Risk-free + 200bp, the spread for a C rating at 0.4x interest cover, capped at 200bp because one year's cover is too noisy to charge more. Book interest / average debt was lower, at 6.1%.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</si>
  <si>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</si>
  <si>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</si>
  <si>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</si>
  <si>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</si>
  <si>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</si>
  <si>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</si>
  <si>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</si>
  <si>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2026-03-31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</si>
  <si>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</si>
  <si>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</si>
  <si>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</si>
  <si>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</si>
  <si>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</si>
  <si>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</si>
  <si>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</si>
  <si>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</si>
  <si>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</si>
  <si>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</si>
  <si>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</si>
  <si>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</si>
  <si>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</si>
  <si>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</si>
  <si>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</si>
  <si>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</si>
  <si>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</si>
  <si>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</si>
  <si>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</si>
  <si>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</si>
  <si>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</si>
  <si>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</si>
  <si>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</si>
  <si>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</si>
  <si>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</si>
  <si>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</si>
  <si>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</si>
  <si>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</si>
  <si>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(NZD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</si>
  <si>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</si>
  <si>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</si>
  <si>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</si>
  <si>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</si>
  <si>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</si>
  <si>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</si>
  <si>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</si>
  <si>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</si>
  <si>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</si>
  <si>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</si>
  <si>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</si>
  <si>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</si>
  <si>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</si>
  <si>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</si>
  <si>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</si>
  <si>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</si>
  <si>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</si>
  <si>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0.8057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</si>
  <si>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</si>
  <si>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</si>
  <si>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</si>
  <si>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</si>
  <si>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</si>
  <si>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</si>
  <si>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</si>
  <si>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</si>
  <si>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</si>
  <si>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</si>
  <si>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</si>
  <si>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</si>
  <si>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</si>
  <si>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</si>
  <si>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</si>
  <si>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</si>
  <si>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</si>
  <si>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</si>
  <si>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</si>
  <si>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</si>
  <si>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</si>
  <si>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</si>
  <si>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</si>
  <si>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</si>
  <si>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</si>
  <si>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</si>
  <si>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NZD, trades in AUD. Modelled in NZD, converted at the end.</t>
  </si>
  <si>
    <t>Current EV/EBITDA of 22.5x sits outside a defensible 3-20x band, so the exit multiple is capped at 20.0x. A multiple that far out usually means EBITDA is the wrong denominator for this business.</t>
  </si>
  <si>
    <t>Data: Yahoo Finance. Risk-free rate: Australian Government 10-year (RBA F2), 2026-10-28.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</si>
</sst>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0.1426304658064086</v>
      </c>
    </row>
    <row r="7" spans="1:2" x14ac:dyDescent="0.25">
      <c r="A7" t="s">
        <v>4</v>
      </c>
      <c r="B7" s="5">
        <v>0.028723309032931372</v>
      </c>
    </row>
    <row r="8" spans="1:2" x14ac:dyDescent="0.25">
      <c r="A8" t="s">
        <v>5</v>
      </c>
      <c r="B8" s="5">
        <v>0.08477143701575</v>
      </c>
    </row>
    <row r="9" spans="1:2" x14ac:dyDescent="0.25">
      <c r="A9" t="s">
        <v>6</v>
      </c>
      <c r="B9" s="5">
        <v>0.16299509281674437</v>
      </c>
    </row>
    <row r="10" spans="1:3" x14ac:dyDescent="0.25">
      <c r="A10" t="s">
        <v>7</v>
      </c>
      <c r="B10" s="5">
        <v>0.16819658316767339</v>
      </c>
      <c r="C10" s="6" t="s">
        <v>8</v>
      </c>
    </row>
    <row r="11" spans="1:2" x14ac:dyDescent="0.25">
      <c r="A11" t="s">
        <v>9</v>
      </c>
      <c r="B11" s="5">
        <v>-0.16256251023747426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0.06725914691680811</v>
      </c>
      <c r="C14" s="6" t="s">
        <v>13</v>
      </c>
    </row>
    <row r="15" spans="1:3" x14ac:dyDescent="0.25">
      <c r="A15" t="s">
        <v>14</v>
      </c>
      <c r="B15" s="5">
        <v>0.16299509281674437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0.05208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0.38293</v>
      </c>
      <c r="C19" s="6" t="s">
        <v>21</v>
      </c>
    </row>
    <row r="20" spans="1:2" x14ac:dyDescent="0.25">
      <c r="A20" t="s">
        <v>22</v>
      </c>
      <c r="B20" s="9">
        <f>B17+B19*B18</f>
        <v>0.068277939</v>
      </c>
    </row>
    <row r="21" spans="1:3" x14ac:dyDescent="0.25">
      <c r="A21" t="s">
        <v>23</v>
      </c>
      <c r="B21" s="5">
        <v>0.07208</v>
      </c>
      <c r="C21" s="6" t="s">
        <v>24</v>
      </c>
    </row>
    <row r="22" spans="1:2" x14ac:dyDescent="0.25">
      <c r="A22" t="s">
        <v>25</v>
      </c>
      <c r="B22" s="10">
        <v>10023103488</v>
      </c>
    </row>
    <row r="23" spans="1:2" x14ac:dyDescent="0.25">
      <c r="A23" t="s">
        <v>26</v>
      </c>
      <c r="B23" s="10">
        <v>7919100000</v>
      </c>
    </row>
    <row r="24" spans="1:2" x14ac:dyDescent="0.25">
      <c r="A24" t="s">
        <v>27</v>
      </c>
      <c r="B24" s="9">
        <f>B22/(B22+B23)</f>
        <v>0.5586328064277943</v>
      </c>
    </row>
    <row r="25" spans="1:2" x14ac:dyDescent="0.25">
      <c r="A25" t="s">
        <v>28</v>
      </c>
      <c r="B25" s="9">
        <f>1-B24</f>
        <v>0.44136719357220566</v>
      </c>
    </row>
    <row r="26" spans="1:2" x14ac:dyDescent="0.25">
      <c r="A26" t="s">
        <v>29</v>
      </c>
      <c r="B26" s="11">
        <f>B24*B20+B25*B21*(1-B8)</f>
        <v>0.06725914691680811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2999100000</v>
      </c>
      <c r="C29" s="6" t="s">
        <v>32</v>
      </c>
    </row>
    <row r="30" spans="1:2" x14ac:dyDescent="0.25">
      <c r="A30" t="s">
        <v>33</v>
      </c>
      <c r="B30" s="10">
        <v>7606500000</v>
      </c>
    </row>
    <row r="31" spans="1:2" x14ac:dyDescent="0.25">
      <c r="A31" t="s">
        <v>34</v>
      </c>
      <c r="B31" s="12">
        <v>985600000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0.1426304658064086</v>
      </c>
      <c r="C5" s="5">
        <v>0.05265614890945902</v>
      </c>
      <c r="D5" s="5">
        <v>0.04919913029577665</v>
      </c>
      <c r="E5" s="5">
        <v>0.045742111682094265</v>
      </c>
      <c r="F5" s="5">
        <v>0.04228509306841189</v>
      </c>
      <c r="G5" s="5">
        <v>0.03882807445472951</v>
      </c>
      <c r="H5" s="5">
        <v>0.03537105584104713</v>
      </c>
      <c r="I5" s="5">
        <v>0.03191403722736476</v>
      </c>
      <c r="J5" s="5">
        <v>0.02845701861368238</v>
      </c>
      <c r="K5" s="5">
        <v>0.025</v>
      </c>
    </row>
    <row r="6" spans="1:11" x14ac:dyDescent="0.25">
      <c r="A6" t="s">
        <v>50</v>
      </c>
      <c r="B6" s="18">
        <f>Assumptions!B29*(1+B5)</f>
        <v>3426863030</v>
      </c>
      <c r="C6" s="18">
        <f>B6*(1+C5)</f>
        <v>3607308440</v>
      </c>
      <c r="D6" s="18">
        <f>C6*(1+D5)</f>
        <v>3784784877.9566145</v>
      </c>
      <c r="E6" s="18">
        <f>D6*(1+E5)</f>
        <v>3957908930.536807</v>
      </c>
      <c r="F6" s="18">
        <f>E6*(1+F5)</f>
        <v>4125269478.020855</v>
      </c>
      <c r="G6" s="18">
        <f>F6*(1+G5)</f>
        <v>4285445748.459272</v>
      </c>
      <c r="H6" s="18">
        <f>G6*(1+H5)</f>
        <v>4437026489.331803</v>
      </c>
      <c r="I6" s="18">
        <f>H6*(1+I5)</f>
        <v>4578629917.891142</v>
      </c>
      <c r="J6" s="18">
        <f>I6*(1+J5)</f>
        <v>4708924074.689733</v>
      </c>
      <c r="K6" s="18">
        <f>J6*(1+K5)</f>
        <v>4826647176.556975</v>
      </c>
    </row>
    <row r="7" spans="1:11" x14ac:dyDescent="0.25">
      <c r="A7" t="s">
        <v>4</v>
      </c>
      <c r="B7" s="9">
        <f>Assumptions!B7</f>
        <v>0.028723309032931372</v>
      </c>
      <c r="C7" s="9">
        <f>Assumptions!B7</f>
        <v>0.028723309032931372</v>
      </c>
      <c r="D7" s="9">
        <f>Assumptions!B7</f>
        <v>0.028723309032931372</v>
      </c>
      <c r="E7" s="9">
        <f>Assumptions!B7</f>
        <v>0.028723309032931372</v>
      </c>
      <c r="F7" s="9">
        <f>Assumptions!B7</f>
        <v>0.028723309032931372</v>
      </c>
      <c r="G7" s="9">
        <f>Assumptions!B7</f>
        <v>0.028723309032931372</v>
      </c>
      <c r="H7" s="9">
        <f>Assumptions!B7</f>
        <v>0.028723309032931372</v>
      </c>
      <c r="I7" s="9">
        <f>Assumptions!B7</f>
        <v>0.028723309032931372</v>
      </c>
      <c r="J7" s="9">
        <f>Assumptions!B7</f>
        <v>0.028723309032931372</v>
      </c>
      <c r="K7" s="9">
        <f>Assumptions!B7</f>
        <v>0.028723309032931372</v>
      </c>
    </row>
    <row r="8" spans="1:11" x14ac:dyDescent="0.25">
      <c r="A8" t="s">
        <v>51</v>
      </c>
      <c r="B8" s="18">
        <f>B6*B7</f>
        <v>98430845.82421757</v>
      </c>
      <c r="C8" s="18">
        <f>C6*C7</f>
        <v>103613835.09922157</v>
      </c>
      <c r="D8" s="18">
        <f>D6*D7</f>
        <v>108711545.67271328</v>
      </c>
      <c r="E8" s="18">
        <f>E6*E7</f>
        <v>113684241.33600761</v>
      </c>
      <c r="F8" s="18">
        <f>F6*F7</f>
        <v>118491390.06131251</v>
      </c>
      <c r="G8" s="18">
        <f>G6*G7</f>
        <v>123092182.57685755</v>
      </c>
      <c r="H8" s="18">
        <f>H6*H7</f>
        <v>127446083.04037996</v>
      </c>
      <c r="I8" s="18">
        <f>I6*I7</f>
        <v>131513402.07901247</v>
      </c>
      <c r="J8" s="18">
        <f>J6*J7</f>
        <v>135255881.40992358</v>
      </c>
      <c r="K8" s="18">
        <f>K6*K7</f>
        <v>138637278.44517168</v>
      </c>
    </row>
    <row r="9" spans="1:11" x14ac:dyDescent="0.25">
      <c r="A9" t="s">
        <v>52</v>
      </c>
      <c r="B9" s="18">
        <f>B8*(1-Assumptions!B8)</f>
        <v>90086721.57702293</v>
      </c>
      <c r="C9" s="18">
        <f>C8*(1-Assumptions!B8)</f>
        <v>94830341.40314761</v>
      </c>
      <c r="D9" s="18">
        <f>D8*(1-Assumptions!B8)</f>
        <v>99495911.72583404</v>
      </c>
      <c r="E9" s="18">
        <f>E8*(1-Assumptions!B8)</f>
        <v>104047064.83190893</v>
      </c>
      <c r="F9" s="18">
        <f>F8*(1-Assumptions!B8)</f>
        <v>108446704.6518213</v>
      </c>
      <c r="G9" s="18">
        <f>G8*(1-Assumptions!B8)</f>
        <v>112657481.37441228</v>
      </c>
      <c r="H9" s="18">
        <f>H8*(1-Assumptions!B8)</f>
        <v>116642295.43901835</v>
      </c>
      <c r="I9" s="18">
        <f>I8*(1-Assumptions!B8)</f>
        <v>120364821.99794446</v>
      </c>
      <c r="J9" s="18">
        <f>J8*(1-Assumptions!B8)</f>
        <v>123790045.97797251</v>
      </c>
      <c r="K9" s="18">
        <f>K8*(1-Assumptions!B8)</f>
        <v>126884797.12742183</v>
      </c>
    </row>
    <row r="10" spans="1:11" x14ac:dyDescent="0.25">
      <c r="A10" t="s">
        <v>53</v>
      </c>
      <c r="B10" s="18">
        <f>B6*Assumptions!B9</f>
        <v>558561857.6451199</v>
      </c>
      <c r="C10" s="18">
        <f>C6*Assumptions!B9</f>
        <v>587973573.9964254</v>
      </c>
      <c r="D10" s="18">
        <f>D6*Assumptions!B9</f>
        <v>616901362.473949</v>
      </c>
      <c r="E10" s="18">
        <f>E6*Assumptions!B9</f>
        <v>645119733.4930683</v>
      </c>
      <c r="F10" s="18">
        <f>F6*Assumptions!B9</f>
        <v>672398681.4640919</v>
      </c>
      <c r="G10" s="18">
        <f>G6*Assumptions!B9</f>
        <v>698506627.5312415</v>
      </c>
      <c r="H10" s="18">
        <f>H6*Assumptions!B9</f>
        <v>723213544.4589907</v>
      </c>
      <c r="I10" s="18">
        <f>I6*Assumptions!B9</f>
        <v>746294208.4401894</v>
      </c>
      <c r="J10" s="18">
        <f>J6*Assumptions!B9</f>
        <v>767531516.6210551</v>
      </c>
      <c r="K10" s="18">
        <f>K6*Assumptions!B9</f>
        <v>786719804.5365814</v>
      </c>
    </row>
    <row r="11" spans="1:11" x14ac:dyDescent="0.25">
      <c r="A11" t="s">
        <v>54</v>
      </c>
      <c r="B11" s="18">
        <f>-B6*B19</f>
        <v>-576386652.6296202</v>
      </c>
      <c r="C11" s="18">
        <f>-C6*C19</f>
        <v>-608568591.9011672</v>
      </c>
      <c r="D11" s="18">
        <f>-D6*D19</f>
        <v>-640431390.1990776</v>
      </c>
      <c r="E11" s="18">
        <f>-E6*E19</f>
        <v>-671735732.2588682</v>
      </c>
      <c r="F11" s="18">
        <f>-F6*F19</f>
        <v>-702234776.6700834</v>
      </c>
      <c r="G11" s="18">
        <f>-G6*G19</f>
        <v>-731677168.0188415</v>
      </c>
      <c r="H11" s="18">
        <f>-H6*H19</f>
        <v>-759810295.397733</v>
      </c>
      <c r="I11" s="18">
        <f>-I6*I19</f>
        <v>-786383743.0628273</v>
      </c>
      <c r="J11" s="18">
        <f>-J6*J19</f>
        <v>-811152871.3220708</v>
      </c>
      <c r="K11" s="18">
        <f>-K6*K19</f>
        <v>-833882459.3366652</v>
      </c>
    </row>
    <row r="12" spans="1:11" x14ac:dyDescent="0.25">
      <c r="A12" t="s">
        <v>55</v>
      </c>
      <c r="B12" s="18">
        <f>-(B6-Assumptions!B29)*Assumptions!B11</f>
        <v>69538231.943588</v>
      </c>
      <c r="C12" s="18">
        <f>-(C6-B6)*Assumptions!B11</f>
        <v>29333658.81043024</v>
      </c>
      <c r="D12" s="18">
        <f>-(D6-C6)*Assumptions!B11</f>
        <v>28851015.26223261</v>
      </c>
      <c r="E12" s="18">
        <f>-(E6-D6)*Assumptions!B11</f>
        <v>28143480.569920585</v>
      </c>
      <c r="F12" s="18">
        <f>-(F6-E6)*Assumptions!B11</f>
        <v>27206550.713724833</v>
      </c>
      <c r="G12" s="18">
        <f>-(G6-F6)*Assumptions!B11</f>
        <v>26038656.602945603</v>
      </c>
      <c r="H12" s="18">
        <f>-(H6-G6)*Assumptions!B11</f>
        <v>24641345.73989482</v>
      </c>
      <c r="I12" s="18">
        <f>-(I6-H6)*Assumptions!B11</f>
        <v>23019408.80483893</v>
      </c>
      <c r="J12" s="18">
        <f>-(J6-I6)*Assumptions!B11</f>
        <v>21180945.19845397</v>
      </c>
      <c r="K12" s="18">
        <f>-(K6-J6)*Assumptions!B11</f>
        <v>19137362.952480886</v>
      </c>
    </row>
    <row r="13" spans="1:11" x14ac:dyDescent="0.25">
      <c r="A13" s="19" t="s">
        <v>56</v>
      </c>
      <c r="B13" s="20">
        <f>B9+B10+B11+B12</f>
        <v>141800158.53611064</v>
      </c>
      <c r="C13" s="20">
        <f>C9+C10+C11+C12</f>
        <v>103568982.30883606</v>
      </c>
      <c r="D13" s="20">
        <f>D9+D10+D11+D12</f>
        <v>104816899.26293796</v>
      </c>
      <c r="E13" s="20">
        <f>E9+E10+E11+E12</f>
        <v>105574546.63602965</v>
      </c>
      <c r="F13" s="20">
        <f>F9+F10+F11+F12</f>
        <v>105817160.15955459</v>
      </c>
      <c r="G13" s="20">
        <f>G9+G10+G11+G12</f>
        <v>105525597.48975793</v>
      </c>
      <c r="H13" s="20">
        <f>H9+H10+H11+H12</f>
        <v>104686890.24017091</v>
      </c>
      <c r="I13" s="20">
        <f>I9+I10+I11+I12</f>
        <v>103294696.18014541</v>
      </c>
      <c r="J13" s="20">
        <f>J9+J10+J11+J12</f>
        <v>101349636.47541076</v>
      </c>
      <c r="K13" s="20">
        <f>K9+K10+K11+K12</f>
        <v>98859505.27981898</v>
      </c>
    </row>
    <row r="14" spans="1:11" x14ac:dyDescent="0.25">
      <c r="A14" t="s">
        <v>57</v>
      </c>
      <c r="B14" s="21">
        <f>1/(1+Assumptions!$B$26)^(1-0.5*Assumptions!$B$32)</f>
        <v>0.9679770423345441</v>
      </c>
      <c r="C14" s="21">
        <f>1/(1+Assumptions!$B$26)^(2-0.5*Assumptions!$B$32)</f>
        <v>0.9069746978800052</v>
      </c>
      <c r="D14" s="21">
        <f>1/(1+Assumptions!$B$26)^(3-0.5*Assumptions!$B$32)</f>
        <v>0.8498167483503452</v>
      </c>
      <c r="E14" s="21">
        <f>1/(1+Assumptions!$B$26)^(4-0.5*Assumptions!$B$32)</f>
        <v>0.7962609182646694</v>
      </c>
      <c r="F14" s="21">
        <f>1/(1+Assumptions!$B$26)^(5-0.5*Assumptions!$B$32)</f>
        <v>0.7460802004508258</v>
      </c>
      <c r="G14" s="21">
        <f>1/(1+Assumptions!$B$26)^(6-0.5*Assumptions!$B$32)</f>
        <v>0.6990618938297861</v>
      </c>
      <c r="H14" s="21">
        <f>1/(1+Assumptions!$B$26)^(7-0.5*Assumptions!$B$32)</f>
        <v>0.6550067018392839</v>
      </c>
      <c r="I14" s="21">
        <f>1/(1+Assumptions!$B$26)^(8-0.5*Assumptions!$B$32)</f>
        <v>0.6137278876751957</v>
      </c>
      <c r="J14" s="21">
        <f>1/(1+Assumptions!$B$26)^(9-0.5*Assumptions!$B$32)</f>
        <v>0.5750504827699876</v>
      </c>
      <c r="K14" s="21">
        <f>1/(1+Assumptions!$B$26)^(10-0.5*Assumptions!$B$32)</f>
        <v>0.5388105451532029</v>
      </c>
    </row>
    <row r="15" spans="1:11" x14ac:dyDescent="0.25">
      <c r="A15" s="19" t="s">
        <v>58</v>
      </c>
      <c r="B15" s="20">
        <f>B13*B14</f>
        <v>137259298.06235382</v>
      </c>
      <c r="C15" s="20">
        <f>C13*C14</f>
        <v>93934446.43929619</v>
      </c>
      <c r="D15" s="20">
        <f>D13*D14</f>
        <v>89075156.50379562</v>
      </c>
      <c r="E15" s="20">
        <f>E13*E14</f>
        <v>84064885.44978113</v>
      </c>
      <c r="F15" s="20">
        <f>F13*F14</f>
        <v>78948088.06297763</v>
      </c>
      <c r="G15" s="20">
        <f>G13*G14</f>
        <v>73768924.0287099</v>
      </c>
      <c r="H15" s="20">
        <f>H13*H14</f>
        <v>68570614.70202547</v>
      </c>
      <c r="I15" s="20">
        <f>I13*I14</f>
        <v>63394835.69469175</v>
      </c>
      <c r="J15" s="20">
        <f>J13*J14</f>
        <v>58281157.383747704</v>
      </c>
      <c r="K15" s="20">
        <f>K13*K14</f>
        <v>53266543.93339521</v>
      </c>
    </row>
    <row r="17" spans="1:2" x14ac:dyDescent="0.25">
      <c r="A17" s="22" t="s">
        <v>59</v>
      </c>
      <c r="B17" s="23">
        <f>SUM(B15:K15)</f>
        <v>800563950.2607744</v>
      </c>
    </row>
    <row r="19" spans="1:11" x14ac:dyDescent="0.25">
      <c r="A19" t="s">
        <v>7</v>
      </c>
      <c r="B19" s="9">
        <f>Assumptions!$B$10+($B$20-Assumptions!$B$10)*0/9</f>
        <v>0.16819658316767339</v>
      </c>
      <c r="C19" s="9">
        <f>Assumptions!$B$10+($B$20-Assumptions!$B$10)*1/9</f>
        <v>0.16870434065271311</v>
      </c>
      <c r="D19" s="9">
        <f>Assumptions!$B$10+($B$20-Assumptions!$B$10)*2/9</f>
        <v>0.16921209813775284</v>
      </c>
      <c r="E19" s="9">
        <f>Assumptions!$B$10+($B$20-Assumptions!$B$10)*3/9</f>
        <v>0.16971985562279257</v>
      </c>
      <c r="F19" s="9">
        <f>Assumptions!$B$10+($B$20-Assumptions!$B$10)*4/9</f>
        <v>0.1702276131078323</v>
      </c>
      <c r="G19" s="9">
        <f>Assumptions!$B$10+($B$20-Assumptions!$B$10)*5/9</f>
        <v>0.170735370592872</v>
      </c>
      <c r="H19" s="9">
        <f>Assumptions!$B$10+($B$20-Assumptions!$B$10)*6/9</f>
        <v>0.17124312807791173</v>
      </c>
      <c r="I19" s="9">
        <f>Assumptions!$B$10+($B$20-Assumptions!$B$10)*7/9</f>
        <v>0.17175088556295146</v>
      </c>
      <c r="J19" s="9">
        <f>Assumptions!$B$10+($B$20-Assumptions!$B$10)*8/9</f>
        <v>0.17225864304799118</v>
      </c>
      <c r="K19" s="9">
        <f>Assumptions!$B$10+($B$20-Assumptions!$B$10)*9/9</f>
        <v>0.1727664005330309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0.1727664005330309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98859505.27981898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126884797.12742183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0.3716966560834045</v>
      </c>
    </row>
    <row r="7" spans="1:2" x14ac:dyDescent="0.25">
      <c r="A7" t="s">
        <v>66</v>
      </c>
      <c r="B7" s="18">
        <f>-MAX(B5,0)*B6</f>
        <v>-47162654.80008386</v>
      </c>
    </row>
    <row r="8" spans="1:2" x14ac:dyDescent="0.25">
      <c r="A8" t="s">
        <v>67</v>
      </c>
      <c r="B8" s="18">
        <f>IF(OR(Assumptions!$B$33=0,Assumptions!B12&lt;=0),B5,MAX(B5+B7,0))</f>
        <v>79722142.32733797</v>
      </c>
    </row>
    <row r="9" spans="1:2" x14ac:dyDescent="0.25">
      <c r="A9" t="s">
        <v>68</v>
      </c>
      <c r="B9" s="18">
        <f>B8*(1+Assumptions!B12)/(Assumptions!B26-Assumptions!B12)</f>
        <v>1933668846.8034384</v>
      </c>
    </row>
    <row r="10" spans="1:2" x14ac:dyDescent="0.25">
      <c r="A10" t="s">
        <v>69</v>
      </c>
      <c r="B10" s="18">
        <f>B9/(1+Assumptions!B26)^(10-0.5*Assumptions!B32)</f>
        <v>1041881165.4919258</v>
      </c>
    </row>
    <row r="11" spans="1:2" x14ac:dyDescent="0.25">
      <c r="A11" t="s">
        <v>70</v>
      </c>
      <c r="B11" s="18">
        <f>Forecast!B17+B10</f>
        <v>1842445115.7527003</v>
      </c>
    </row>
    <row r="12" spans="1:2" x14ac:dyDescent="0.25">
      <c r="A12" t="s">
        <v>71</v>
      </c>
      <c r="B12" s="18">
        <f>-Assumptions!B30</f>
        <v>-7606500000</v>
      </c>
    </row>
    <row r="13" spans="1:2" x14ac:dyDescent="0.25">
      <c r="A13" t="s">
        <v>72</v>
      </c>
      <c r="B13" s="18">
        <f>B11+B12</f>
        <v>-5764054884.247299</v>
      </c>
    </row>
    <row r="14" spans="1:2" x14ac:dyDescent="0.25">
      <c r="A14" s="19" t="s">
        <v>73</v>
      </c>
      <c r="B14" s="24">
        <f>B13/Assumptions!B31</f>
        <v>-5.848269971841821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925357082.9817531</v>
      </c>
    </row>
    <row r="18" spans="1:2" x14ac:dyDescent="0.25">
      <c r="A18" t="s">
        <v>68</v>
      </c>
      <c r="B18" s="18">
        <f>B17*Assumptions!B13</f>
        <v>18507141659.635063</v>
      </c>
    </row>
    <row r="19" spans="1:2" x14ac:dyDescent="0.25">
      <c r="A19" t="s">
        <v>69</v>
      </c>
      <c r="B19" s="18">
        <f>B18/(1+Assumptions!B26)^(10-0.5*Assumptions!B32)</f>
        <v>9971843086.85552</v>
      </c>
    </row>
    <row r="20" spans="1:2" x14ac:dyDescent="0.25">
      <c r="A20" t="s">
        <v>70</v>
      </c>
      <c r="B20" s="18">
        <f>Forecast!B17+B19</f>
        <v>10772407037.116295</v>
      </c>
    </row>
    <row r="21" spans="1:2" x14ac:dyDescent="0.25">
      <c r="A21" t="s">
        <v>71</v>
      </c>
      <c r="B21" s="18">
        <f>-Assumptions!B30</f>
        <v>-7606500000</v>
      </c>
    </row>
    <row r="22" spans="1:2" x14ac:dyDescent="0.25">
      <c r="A22" t="s">
        <v>72</v>
      </c>
      <c r="B22" s="18">
        <f>B20+B21</f>
        <v>3165907037.116295</v>
      </c>
    </row>
    <row r="23" spans="1:2" x14ac:dyDescent="0.25">
      <c r="A23" s="19" t="s">
        <v>73</v>
      </c>
      <c r="B23" s="25">
        <f>B22/Assumptions!B31</f>
        <v>3.212162172398838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10.03</v>
      </c>
    </row>
    <row r="27" spans="1:3" x14ac:dyDescent="0.25">
      <c r="A27" t="s">
        <v>78</v>
      </c>
      <c r="B27" s="27">
        <v>0.8057</v>
      </c>
      <c r="C27" s="6" t="s">
        <v>79</v>
      </c>
    </row>
    <row r="28" spans="1:2" x14ac:dyDescent="0.25">
      <c r="A28" t="s">
        <v>80</v>
      </c>
      <c r="B28" s="28">
        <f>B14*B27</f>
        <v>-4.711951116312956</v>
      </c>
    </row>
    <row r="29" spans="1:2" x14ac:dyDescent="0.25">
      <c r="A29" s="19" t="s">
        <v>81</v>
      </c>
      <c r="B29" s="11">
        <f>B28/B26-1</f>
        <v>-1.469785754368191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0.047259</v>
      </c>
      <c r="B5" s="31">
        <v>-5.02929256290393</v>
      </c>
      <c r="C5" s="31">
        <v>-5.066312919016862</v>
      </c>
      <c r="D5" s="31">
        <v>-5.103333275129797</v>
      </c>
      <c r="E5" s="31">
        <v>-5.14035363124273</v>
      </c>
      <c r="F5" s="31">
        <v>-5.177373987355664</v>
      </c>
    </row>
    <row r="6" spans="1:6" x14ac:dyDescent="0.25">
      <c r="A6" s="30">
        <v>0.057259</v>
      </c>
      <c r="B6" s="31">
        <v>-5.482630344997406</v>
      </c>
      <c r="C6" s="31">
        <v>-5.511461937441393</v>
      </c>
      <c r="D6" s="31">
        <v>-5.540293529885378</v>
      </c>
      <c r="E6" s="31">
        <v>-5.569125122329363</v>
      </c>
      <c r="F6" s="31">
        <v>-5.59795671477335</v>
      </c>
    </row>
    <row r="7" spans="1:6" x14ac:dyDescent="0.25">
      <c r="A7" s="30">
        <v>0.067259</v>
      </c>
      <c r="B7" s="31">
        <v>-5.8019033609003765</v>
      </c>
      <c r="C7" s="31">
        <v>-5.825084737226784</v>
      </c>
      <c r="D7" s="32">
        <v>-5.848266113553192</v>
      </c>
      <c r="E7" s="31">
        <v>-5.871447489879601</v>
      </c>
      <c r="F7" s="31">
        <v>-5.894628866206009</v>
      </c>
    </row>
    <row r="8" spans="1:6" x14ac:dyDescent="0.25">
      <c r="A8" s="30">
        <v>0.077259</v>
      </c>
      <c r="B8" s="31">
        <v>-6.039086389939339</v>
      </c>
      <c r="C8" s="31">
        <v>-6.058162969563549</v>
      </c>
      <c r="D8" s="31">
        <v>-6.077239549187761</v>
      </c>
      <c r="E8" s="31">
        <v>-6.096316128811971</v>
      </c>
      <c r="F8" s="31">
        <v>-6.115392708436181</v>
      </c>
    </row>
    <row r="9" spans="1:6" x14ac:dyDescent="0.25">
      <c r="A9" s="30">
        <v>0.087259</v>
      </c>
      <c r="B9" s="31">
        <v>-6.222338001491573</v>
      </c>
      <c r="C9" s="31">
        <v>-6.238317935522286</v>
      </c>
      <c r="D9" s="31">
        <v>-6.254297869552999</v>
      </c>
      <c r="E9" s="31">
        <v>-6.270277803583713</v>
      </c>
      <c r="F9" s="31">
        <v>-6.2862577376144255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2999100000</v>
      </c>
      <c r="C5" s="18">
        <v>3346800000</v>
      </c>
      <c r="D5" s="18">
        <v>2995200000</v>
      </c>
      <c r="E5" s="18">
        <v>1191700000</v>
      </c>
      <c r="F5" s="6" t="s">
        <v>91</v>
      </c>
    </row>
    <row r="6" spans="1:6" x14ac:dyDescent="0.25">
      <c r="A6" t="s">
        <v>51</v>
      </c>
      <c r="B6" s="18">
        <v>202900000</v>
      </c>
      <c r="C6" s="18">
        <v>-91100000</v>
      </c>
      <c r="D6" s="18">
        <v>115700000</v>
      </c>
      <c r="E6" s="18">
        <v>42700000</v>
      </c>
      <c r="F6" s="6" t="s">
        <v>92</v>
      </c>
    </row>
    <row r="7" spans="1:6" x14ac:dyDescent="0.25">
      <c r="A7" t="s">
        <v>93</v>
      </c>
      <c r="B7" s="18">
        <v>580400000</v>
      </c>
      <c r="C7" s="18">
        <v>608000000</v>
      </c>
      <c r="D7" s="18">
        <v>558600000</v>
      </c>
      <c r="E7" s="18">
        <v>107600000</v>
      </c>
      <c r="F7" s="6" t="s">
        <v>94</v>
      </c>
    </row>
    <row r="8" spans="1:6" x14ac:dyDescent="0.25">
      <c r="A8" t="s">
        <v>95</v>
      </c>
      <c r="B8" s="18">
        <v>550600000</v>
      </c>
      <c r="C8" s="18">
        <v>598300000</v>
      </c>
      <c r="D8" s="18">
        <v>516600000</v>
      </c>
      <c r="E8" s="18">
        <v>164400000</v>
      </c>
      <c r="F8" s="6" t="s">
        <v>96</v>
      </c>
    </row>
    <row r="9" spans="1:6" x14ac:dyDescent="0.25">
      <c r="A9" t="s">
        <v>97</v>
      </c>
      <c r="B9" s="18">
        <v>76500000</v>
      </c>
      <c r="C9" s="18">
        <v>-119100000</v>
      </c>
      <c r="D9" s="18">
        <v>-184300000</v>
      </c>
      <c r="E9" s="18">
        <v>0</v>
      </c>
      <c r="F9" s="6" t="s">
        <v>98</v>
      </c>
    </row>
    <row r="10" spans="1:6" x14ac:dyDescent="0.25">
      <c r="A10" t="s">
        <v>99</v>
      </c>
      <c r="B10" s="18">
        <v>7919100000</v>
      </c>
      <c r="C10" s="18">
        <v>7049300000</v>
      </c>
      <c r="D10" s="18">
        <v>6857800000</v>
      </c>
      <c r="E10" s="18">
        <v>3391800000</v>
      </c>
      <c r="F10" s="6" t="s">
        <v>100</v>
      </c>
    </row>
    <row r="11" spans="1:6" x14ac:dyDescent="0.25">
      <c r="A11" t="s">
        <v>101</v>
      </c>
      <c r="B11" s="18">
        <v>312600000</v>
      </c>
      <c r="C11" s="18">
        <v>293700000</v>
      </c>
      <c r="D11" s="18">
        <v>236200000</v>
      </c>
      <c r="E11" s="18">
        <v>774500000</v>
      </c>
      <c r="F11" s="6" t="s">
        <v>102</v>
      </c>
    </row>
    <row r="12" spans="1:6" x14ac:dyDescent="0.25">
      <c r="A12" t="s">
        <v>34</v>
      </c>
      <c r="B12" s="34">
        <v>985600000</v>
      </c>
      <c r="C12" s="34">
        <v>935300000</v>
      </c>
      <c r="D12" s="34">
        <v>808900000</v>
      </c>
      <c r="E12" s="34">
        <v>724000000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