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<sst xmlns="http://schemas.openxmlformats.org/spreadsheetml/2006/main" count="114" uniqueCount="102">
  <si>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Infratil Limited (IFT.NZ)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</si>
  <si>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</si>
  <si>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</si>
  <si>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</si>
  <si>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</si>
  <si>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</si>
  <si>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</si>
  <si>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</si>
  <si>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</si>
  <si>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</si>
  <si>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</si>
  <si>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</si>
  <si>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</si>
  <si>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</si>
  <si>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</si>
  <si>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</si>
  <si>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</si>
  <si>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</si>
  <si>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</si>
  <si>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</si>
  <si>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</si>
  <si>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</si>
  <si>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</si>
  <si>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</si>
  <si>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</si>
  <si>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</si>
  <si>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</si>
  <si>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</si>
  <si>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</si>
  <si>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</si>
  <si>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2026-03-31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</si>
  <si>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</si>
  <si>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</si>
  <si>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</si>
  <si>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</si>
  <si>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</si>
  <si>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</si>
  <si>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</si>
  <si>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</si>
  <si>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</si>
  <si>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</si>
  <si>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</si>
  <si>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</si>
  <si>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</si>
  <si>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</si>
  <si>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</si>
  <si>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</si>
  <si>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</si>
  <si>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</si>
  <si>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</si>
  <si>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</si>
  <si>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</si>
  <si>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</si>
  <si>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</si>
  <si>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</si>
  <si>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</si>
  <si>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</si>
  <si>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</si>
  <si>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</si>
  <si>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</si>
  <si>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</si>
  <si>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</si>
  <si>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</si>
  <si>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</si>
  <si>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</si>
  <si>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</si>
  <si>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</si>
  <si>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</si>
  <si>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</si>
  <si>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</si>
  <si>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</si>
  <si>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</si>
  <si>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</si>
  <si>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</si>
  <si>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</si>
  <si>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</si>
  <si>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</si>
  <si>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</si>
  <si>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</si>
  <si>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</si>
  <si>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</si>
  <si>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</si>
  <si>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</si>
  <si>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</si>
  <si>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</si>
  <si>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</si>
  <si>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</si>
  <si>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</si>
  <si>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</si>
  <si>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</si>
  <si>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</si>
  <si>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</si>
  <si>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</si>
  <si>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</si>
  <si>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</si>
  <si>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</si>
  <si>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</si>
  <si>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</si>
  <si>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</si>
  <si>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Note: Risk-free rate is an assumption: NZD assumption - no free live source available for this market.</t>
  </si>
  <si>
    <t>Current EV/EBITDA of 27.6x sits outside a defensible 3-20x band, so the exit multiple is capped at 20.0x. A multiple that far out usually means EBITDA is the wrong denominator for this business.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</si>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</sst>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0.36021638654883636</v>
      </c>
    </row>
    <row r="7" spans="1:2" x14ac:dyDescent="0.25">
      <c r="A7" t="s">
        <v>5</v>
      </c>
      <c r="B7" s="6">
        <v>0.028723309032931372</v>
      </c>
    </row>
    <row r="8" spans="1:2" x14ac:dyDescent="0.25">
      <c r="A8" t="s">
        <v>6</v>
      </c>
      <c r="B8" s="6">
        <v>0.08477143701575</v>
      </c>
    </row>
    <row r="9" spans="1:2" x14ac:dyDescent="0.25">
      <c r="A9" t="s">
        <v>7</v>
      </c>
      <c r="B9" s="6">
        <v>0.16299509281674437</v>
      </c>
    </row>
    <row r="10" spans="1:2" x14ac:dyDescent="0.25">
      <c r="A10" t="s">
        <v>8</v>
      </c>
      <c r="B10" s="6">
        <v>0.16819658316767339</v>
      </c>
    </row>
    <row r="11" spans="1:2" x14ac:dyDescent="0.25">
      <c r="A11" t="s">
        <v>9</v>
      </c>
      <c r="B11" s="6">
        <v>-0.2200172562553926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0.0641701727710107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0.36483999999999994</v>
      </c>
      <c r="C19" s="8" t="s">
        <v>19</v>
      </c>
    </row>
    <row r="20" spans="1:2" x14ac:dyDescent="0.25">
      <c r="A20" t="s">
        <v>20</v>
      </c>
      <c r="B20" s="10">
        <f>B17+B19*B18</f>
        <v>0.06871459999999999</v>
      </c>
    </row>
    <row r="21" spans="1:3" x14ac:dyDescent="0.25">
      <c r="A21" t="s">
        <v>21</v>
      </c>
      <c r="B21" s="6">
        <v>0.06132920018171615</v>
      </c>
      <c r="C21" s="8" t="s">
        <v>22</v>
      </c>
    </row>
    <row r="22" spans="1:2" x14ac:dyDescent="0.25">
      <c r="A22" t="s">
        <v>23</v>
      </c>
      <c r="B22" s="11">
        <v>14010360832</v>
      </c>
    </row>
    <row r="23" spans="1:2" x14ac:dyDescent="0.25">
      <c r="A23" t="s">
        <v>24</v>
      </c>
      <c r="B23" s="11">
        <v>7919100000</v>
      </c>
    </row>
    <row r="24" spans="1:2" x14ac:dyDescent="0.25">
      <c r="A24" t="s">
        <v>25</v>
      </c>
      <c r="B24" s="10">
        <f>B22/(B22+B23)</f>
        <v>0.6388830504923195</v>
      </c>
    </row>
    <row r="25" spans="1:2" x14ac:dyDescent="0.25">
      <c r="A25" t="s">
        <v>26</v>
      </c>
      <c r="B25" s="10">
        <f>1-B24</f>
        <v>0.3611169495076805</v>
      </c>
    </row>
    <row r="26" spans="1:2" x14ac:dyDescent="0.25">
      <c r="A26" t="s">
        <v>27</v>
      </c>
      <c r="B26" s="12">
        <f>B24*B20+B25*B21*(1-B8)</f>
        <v>0.0641701727710107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2999100000</v>
      </c>
      <c r="C29" s="8" t="s">
        <v>30</v>
      </c>
    </row>
    <row r="30" spans="1:2" x14ac:dyDescent="0.25">
      <c r="A30" t="s">
        <v>31</v>
      </c>
      <c r="B30" s="11">
        <v>7606500000</v>
      </c>
    </row>
    <row r="31" spans="1:2" x14ac:dyDescent="0.25">
      <c r="A31" t="s">
        <v>32</v>
      </c>
      <c r="B31" s="13">
        <v>985600000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0.36021638654883636</v>
      </c>
      <c r="C5" s="10">
        <f>Assumptions!B6</f>
        <v>0.36021638654883636</v>
      </c>
      <c r="D5" s="10">
        <f>Assumptions!B6</f>
        <v>0.36021638654883636</v>
      </c>
      <c r="E5" s="10">
        <f>Assumptions!B6</f>
        <v>0.36021638654883636</v>
      </c>
      <c r="F5" s="10">
        <f>Assumptions!B6</f>
        <v>0.36021638654883636</v>
      </c>
    </row>
    <row r="6" spans="1:6" x14ac:dyDescent="0.25">
      <c r="A6" t="s">
        <v>43</v>
      </c>
      <c r="B6" s="18">
        <f>Assumptions!B29*(1+B5)</f>
        <v>4079424964.8986154</v>
      </c>
      <c r="C6" s="18">
        <f>B6*(1+C5)</f>
        <v>5548900684.9515085</v>
      </c>
      <c r="D6" s="18">
        <f>C6*(1+D5)</f>
        <v>7547705639.003104</v>
      </c>
      <c r="E6" s="18">
        <f>D6*(1+E5)</f>
        <v>10266512891.01908</v>
      </c>
      <c r="F6" s="18">
        <f>E6*(1+F5)</f>
        <v>13964679067.07902</v>
      </c>
    </row>
    <row r="7" spans="1:6" x14ac:dyDescent="0.25">
      <c r="A7" t="s">
        <v>5</v>
      </c>
      <c r="B7" s="10">
        <f>Assumptions!B7</f>
        <v>0.028723309032931372</v>
      </c>
      <c r="C7" s="10">
        <f>Assumptions!B7</f>
        <v>0.028723309032931372</v>
      </c>
      <c r="D7" s="10">
        <f>Assumptions!B7</f>
        <v>0.028723309032931372</v>
      </c>
      <c r="E7" s="10">
        <f>Assumptions!B7</f>
        <v>0.028723309032931372</v>
      </c>
      <c r="F7" s="10">
        <f>Assumptions!B7</f>
        <v>0.028723309032931372</v>
      </c>
    </row>
    <row r="8" spans="1:6" x14ac:dyDescent="0.25">
      <c r="A8" t="s">
        <v>44</v>
      </c>
      <c r="B8" s="18">
        <f>B6*B7</f>
        <v>117174583.94343814</v>
      </c>
      <c r="C8" s="18">
        <f>C6*C7</f>
        <v>159382789.16690674</v>
      </c>
      <c r="D8" s="18">
        <f>D6*D7</f>
        <v>216795081.55868492</v>
      </c>
      <c r="E8" s="18">
        <f>E6*E7</f>
        <v>294888222.4593147</v>
      </c>
      <c r="F8" s="18">
        <f>F6*F7</f>
        <v>401111792.3894184</v>
      </c>
    </row>
    <row r="9" spans="1:6" x14ac:dyDescent="0.25">
      <c r="A9" t="s">
        <v>45</v>
      </c>
      <c r="B9" s="18">
        <f>B8*(1-Assumptions!B8)</f>
        <v>107241526.08083028</v>
      </c>
      <c r="C9" s="18">
        <f>C8*(1-Assumptions!B8)</f>
        <v>145871681.09364974</v>
      </c>
      <c r="D9" s="18">
        <f>D8*(1-Assumptions!B8)</f>
        <v>198417050.95700848</v>
      </c>
      <c r="E9" s="18">
        <f>E8*(1-Assumptions!B8)</f>
        <v>269890124.08241844</v>
      </c>
      <c r="F9" s="18">
        <f>F8*(1-Assumptions!B8)</f>
        <v>367108969.34460425</v>
      </c>
    </row>
    <row r="10" spans="1:6" x14ac:dyDescent="0.25">
      <c r="A10" t="s">
        <v>46</v>
      </c>
      <c r="B10" s="18">
        <f>B6*Assumptions!B9</f>
        <v>664926250.792594</v>
      </c>
      <c r="C10" s="18">
        <f>C6*Assumptions!B9</f>
        <v>904443582.1745676</v>
      </c>
      <c r="D10" s="18">
        <f>D6*Assumptions!B9</f>
        <v>1230238981.182776</v>
      </c>
      <c r="E10" s="18">
        <f>E6*Assumptions!B9</f>
        <v>1673391221.5759575</v>
      </c>
      <c r="F10" s="18">
        <f>F6*Assumptions!B9</f>
        <v>2276174160.694592</v>
      </c>
    </row>
    <row r="11" spans="1:6" x14ac:dyDescent="0.25">
      <c r="A11" t="s">
        <v>47</v>
      </c>
      <c r="B11" s="18">
        <f>-B6*Assumptions!B10</f>
        <v>-686145340.384853</v>
      </c>
      <c r="C11" s="18">
        <f>-C6*Assumptions!B10</f>
        <v>-933306135.5456063</v>
      </c>
      <c r="D11" s="18">
        <f>-D6*Assumptions!B10</f>
        <v>-1269498299.235703</v>
      </c>
      <c r="E11" s="18">
        <f>-E6*Assumptions!B10</f>
        <v>-1726792389.3162816</v>
      </c>
      <c r="F11" s="18">
        <f>-F6*Assumptions!B10</f>
        <v>-2348811304.1158237</v>
      </c>
    </row>
    <row r="12" spans="1:6" x14ac:dyDescent="0.25">
      <c r="A12" t="s">
        <v>48</v>
      </c>
      <c r="B12" s="18">
        <f>-(B6-Assumptions!B29)*Assumptions!B11</f>
        <v>237690134.64119667</v>
      </c>
      <c r="C12" s="18">
        <f>-(C6-B6)*Assumptions!B11</f>
        <v>323310016.05995494</v>
      </c>
      <c r="D12" s="18">
        <f>-(D6-C6)*Assumptions!B11</f>
        <v>439771581.78011817</v>
      </c>
      <c r="E12" s="18">
        <f>-(E6-D6)*Assumptions!B11</f>
        <v>598184511.8758185</v>
      </c>
      <c r="F12" s="18">
        <f>-(F6-E6)*Assumptions!B11</f>
        <v>813660375.2332052</v>
      </c>
    </row>
    <row r="13" spans="1:6" x14ac:dyDescent="0.25">
      <c r="A13" s="19" t="s">
        <v>49</v>
      </c>
      <c r="B13" s="20">
        <f>B9+B10+B11+B12</f>
        <v>323712571.12976795</v>
      </c>
      <c r="C13" s="20">
        <f>C9+C10+C11+C12</f>
        <v>440319143.782566</v>
      </c>
      <c r="D13" s="20">
        <f>D9+D10+D11+D12</f>
        <v>598929314.6841996</v>
      </c>
      <c r="E13" s="20">
        <f>E9+E10+E11+E12</f>
        <v>814673468.2179129</v>
      </c>
      <c r="F13" s="20">
        <f>F9+F10+F11+F12</f>
        <v>1108132201.1565776</v>
      </c>
    </row>
    <row r="14" spans="1:6" x14ac:dyDescent="0.25">
      <c r="A14" t="s">
        <v>50</v>
      </c>
      <c r="B14" s="21">
        <f>1/(1+Assumptions!$B$26)^(1-0.5*Assumptions!$B$32)</f>
        <v>0.9693809011643142</v>
      </c>
      <c r="C14" s="21">
        <f>1/(1+Assumptions!$B$26)^(2-0.5*Assumptions!$B$32)</f>
        <v>0.9109265848338212</v>
      </c>
      <c r="D14" s="21">
        <f>1/(1+Assumptions!$B$26)^(3-0.5*Assumptions!$B$32)</f>
        <v>0.8559971028523042</v>
      </c>
      <c r="E14" s="21">
        <f>1/(1+Assumptions!$B$26)^(4-0.5*Assumptions!$B$32)</f>
        <v>0.8043799053523167</v>
      </c>
      <c r="F14" s="21">
        <f>1/(1+Assumptions!$B$26)^(5-0.5*Assumptions!$B$32)</f>
        <v>0.7558752593655002</v>
      </c>
    </row>
    <row r="15" spans="1:6" x14ac:dyDescent="0.25">
      <c r="A15" s="19" t="s">
        <v>51</v>
      </c>
      <c r="B15" s="20">
        <f>B13*B14</f>
        <v>313800783.9199916</v>
      </c>
      <c r="C15" s="20">
        <f>C13*C14</f>
        <v>401098413.8828051</v>
      </c>
      <c r="D15" s="20">
        <f>D13*D14</f>
        <v>512681758.18299085</v>
      </c>
      <c r="E15" s="20">
        <f>E13*E14</f>
        <v>655306967.2581685</v>
      </c>
      <c r="F15" s="20">
        <f>F13*F14</f>
        <v>837609714.9604907</v>
      </c>
    </row>
    <row r="17" spans="1:2" x14ac:dyDescent="0.25">
      <c r="A17" s="22" t="s">
        <v>52</v>
      </c>
      <c r="B17" s="23">
        <f>SUM(B15:F15)</f>
        <v>2720497638.204447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1108132201.1565776</v>
      </c>
    </row>
    <row r="5" spans="1:2" x14ac:dyDescent="0.25">
      <c r="A5" t="s">
        <v>56</v>
      </c>
      <c r="B5" s="18">
        <f>IF(Assumptions!$B$33=0,B4,B4-Forecast!F11-Forecast!F10-Forecast!F12)</f>
        <v>367108969.34460425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0.3895891022330848</v>
      </c>
    </row>
    <row r="7" spans="1:2" x14ac:dyDescent="0.25">
      <c r="A7" t="s">
        <v>58</v>
      </c>
      <c r="B7" s="18">
        <f>-MAX(Forecast!F9,0)*B6</f>
        <v>-143021653.78867742</v>
      </c>
    </row>
    <row r="8" spans="1:2" x14ac:dyDescent="0.25">
      <c r="A8" t="s">
        <v>59</v>
      </c>
      <c r="B8" s="18">
        <f>IF(OR(Assumptions!$B$33=0,Assumptions!B12&lt;=0),B5,MAX(B5+B7,0))</f>
        <v>224087315.55592683</v>
      </c>
    </row>
    <row r="9" spans="1:2" x14ac:dyDescent="0.25">
      <c r="A9" t="s">
        <v>60</v>
      </c>
      <c r="B9" s="18">
        <f>B8*(1+Assumptions!B12)/(Assumptions!B26-Assumptions!B12)</f>
        <v>5863887805.335773</v>
      </c>
    </row>
    <row r="10" spans="1:2" x14ac:dyDescent="0.25">
      <c r="A10" t="s">
        <v>61</v>
      </c>
      <c r="B10" s="18">
        <f>B9/(1+Assumptions!B26)^(5-0.5*Assumptions!B32)</f>
        <v>4432367715.748371</v>
      </c>
    </row>
    <row r="11" spans="1:2" x14ac:dyDescent="0.25">
      <c r="A11" t="s">
        <v>62</v>
      </c>
      <c r="B11" s="18">
        <f>Forecast!B17+B10</f>
        <v>7152865353.952818</v>
      </c>
    </row>
    <row r="12" spans="1:2" x14ac:dyDescent="0.25">
      <c r="A12" t="s">
        <v>63</v>
      </c>
      <c r="B12" s="18">
        <f>-Assumptions!B30</f>
        <v>-7606500000</v>
      </c>
    </row>
    <row r="13" spans="1:2" x14ac:dyDescent="0.25">
      <c r="A13" t="s">
        <v>64</v>
      </c>
      <c r="B13" s="18">
        <f>B11+B12</f>
        <v>-453634646.0471821</v>
      </c>
    </row>
    <row r="14" spans="1:2" x14ac:dyDescent="0.25">
      <c r="A14" s="19" t="s">
        <v>65</v>
      </c>
      <c r="B14" s="24">
        <f>B13/Assumptions!B31</f>
        <v>-0.4602624249667026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2677285953.0840106</v>
      </c>
    </row>
    <row r="18" spans="1:2" x14ac:dyDescent="0.25">
      <c r="A18" t="s">
        <v>60</v>
      </c>
      <c r="B18" s="18">
        <f>B17*Assumptions!B13</f>
        <v>53545719061.680214</v>
      </c>
    </row>
    <row r="19" spans="1:2" x14ac:dyDescent="0.25">
      <c r="A19" t="s">
        <v>61</v>
      </c>
      <c r="B19" s="18">
        <f>B18/(1+Assumptions!B26)^(5-0.5*Assumptions!B32)</f>
        <v>40473884283.65974</v>
      </c>
    </row>
    <row r="20" spans="1:2" x14ac:dyDescent="0.25">
      <c r="A20" t="s">
        <v>62</v>
      </c>
      <c r="B20" s="18">
        <f>Forecast!B17+B19</f>
        <v>43194381921.86418</v>
      </c>
    </row>
    <row r="21" spans="1:2" x14ac:dyDescent="0.25">
      <c r="A21" t="s">
        <v>63</v>
      </c>
      <c r="B21" s="18">
        <f>-Assumptions!B30</f>
        <v>-7606500000</v>
      </c>
    </row>
    <row r="22" spans="1:2" x14ac:dyDescent="0.25">
      <c r="A22" t="s">
        <v>64</v>
      </c>
      <c r="B22" s="18">
        <f>B20+B21</f>
        <v>35587881921.86418</v>
      </c>
    </row>
    <row r="23" spans="1:2" x14ac:dyDescent="0.25">
      <c r="A23" s="19" t="s">
        <v>65</v>
      </c>
      <c r="B23" s="25">
        <f>B22/Assumptions!B31</f>
        <v>36.107834742151155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14.02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-0.4602624249667026</v>
      </c>
    </row>
    <row r="29" spans="1:2" x14ac:dyDescent="0.25">
      <c r="A29" s="19" t="s">
        <v>73</v>
      </c>
      <c r="B29" s="12">
        <f>B28/B26-1</f>
        <v>-1.0328289889419902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0.04417</v>
      </c>
      <c r="B5" s="31">
        <v>2.250380903627706</v>
      </c>
      <c r="C5" s="31">
        <v>2.285091850001574</v>
      </c>
      <c r="D5" s="31">
        <v>2.3198027963754417</v>
      </c>
      <c r="E5" s="31">
        <v>2.35451374274931</v>
      </c>
      <c r="F5" s="31">
        <v>2.3892246891231776</v>
      </c>
    </row>
    <row r="6" spans="1:6" x14ac:dyDescent="0.25">
      <c r="A6" s="30">
        <v>0.05417</v>
      </c>
      <c r="B6" s="31">
        <v>0.6258892565400782</v>
      </c>
      <c r="C6" s="31">
        <v>0.6530041268870506</v>
      </c>
      <c r="D6" s="31">
        <v>0.6801189972340228</v>
      </c>
      <c r="E6" s="31">
        <v>0.707233867580997</v>
      </c>
      <c r="F6" s="31">
        <v>0.7343487379279694</v>
      </c>
    </row>
    <row r="7" spans="1:6" x14ac:dyDescent="0.25">
      <c r="A7" s="30">
        <v>0.06417</v>
      </c>
      <c r="B7" s="31">
        <v>-0.5041202500414365</v>
      </c>
      <c r="C7" s="31">
        <v>-0.48218297331670856</v>
      </c>
      <c r="D7" s="32">
        <v>-0.46024569659198067</v>
      </c>
      <c r="E7" s="31">
        <v>-0.4383084198672528</v>
      </c>
      <c r="F7" s="31">
        <v>-0.4163711431425268</v>
      </c>
    </row>
    <row r="8" spans="1:6" x14ac:dyDescent="0.25">
      <c r="A8" s="30">
        <v>0.07417</v>
      </c>
      <c r="B8" s="31">
        <v>-1.3389485788704794</v>
      </c>
      <c r="C8" s="31">
        <v>-1.320751258523857</v>
      </c>
      <c r="D8" s="31">
        <v>-1.3025539381772337</v>
      </c>
      <c r="E8" s="31">
        <v>-1.2843566178306125</v>
      </c>
      <c r="F8" s="31">
        <v>-1.2661592974839901</v>
      </c>
    </row>
    <row r="9" spans="1:6" x14ac:dyDescent="0.25">
      <c r="A9" s="30">
        <v>0.08417</v>
      </c>
      <c r="B9" s="31">
        <v>-1.9832291709763528</v>
      </c>
      <c r="C9" s="31">
        <v>-1.9678487316140736</v>
      </c>
      <c r="D9" s="31">
        <v>-1.9524682922517964</v>
      </c>
      <c r="E9" s="31">
        <v>-1.9370878528895181</v>
      </c>
      <c r="F9" s="31">
        <v>-1.9217074135272398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2999100000</v>
      </c>
      <c r="C5" s="18">
        <v>3346800000</v>
      </c>
      <c r="D5" s="18">
        <v>2995200000</v>
      </c>
      <c r="E5" s="18">
        <v>1191700000</v>
      </c>
      <c r="F5" s="8" t="s">
        <v>84</v>
      </c>
    </row>
    <row r="6" spans="1:6" x14ac:dyDescent="0.25">
      <c r="A6" t="s">
        <v>44</v>
      </c>
      <c r="B6" s="18">
        <v>202900000</v>
      </c>
      <c r="C6" s="18">
        <v>-91100000</v>
      </c>
      <c r="D6" s="18">
        <v>115700000</v>
      </c>
      <c r="E6" s="18">
        <v>42700000</v>
      </c>
      <c r="F6" s="8" t="s">
        <v>85</v>
      </c>
    </row>
    <row r="7" spans="1:6" x14ac:dyDescent="0.25">
      <c r="A7" t="s">
        <v>86</v>
      </c>
      <c r="B7" s="18">
        <v>580400000</v>
      </c>
      <c r="C7" s="18">
        <v>608000000</v>
      </c>
      <c r="D7" s="18">
        <v>558600000</v>
      </c>
      <c r="E7" s="18">
        <v>107600000</v>
      </c>
      <c r="F7" s="8" t="s">
        <v>87</v>
      </c>
    </row>
    <row r="8" spans="1:6" x14ac:dyDescent="0.25">
      <c r="A8" t="s">
        <v>88</v>
      </c>
      <c r="B8" s="18">
        <v>550600000</v>
      </c>
      <c r="C8" s="18">
        <v>598300000</v>
      </c>
      <c r="D8" s="18">
        <v>516600000</v>
      </c>
      <c r="E8" s="18">
        <v>164400000</v>
      </c>
      <c r="F8" s="8" t="s">
        <v>89</v>
      </c>
    </row>
    <row r="9" spans="1:6" x14ac:dyDescent="0.25">
      <c r="A9" t="s">
        <v>90</v>
      </c>
      <c r="B9" s="18">
        <v>76500000</v>
      </c>
      <c r="C9" s="18">
        <v>-119100000</v>
      </c>
      <c r="D9" s="18">
        <v>-184300000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7919100000</v>
      </c>
      <c r="C10" s="18">
        <v>7049300000</v>
      </c>
      <c r="D10" s="18">
        <v>6857800000</v>
      </c>
      <c r="E10" s="18">
        <v>3391800000</v>
      </c>
      <c r="F10" s="8" t="s">
        <v>93</v>
      </c>
    </row>
    <row r="11" spans="1:6" x14ac:dyDescent="0.25">
      <c r="A11" t="s">
        <v>94</v>
      </c>
      <c r="B11" s="18">
        <v>312600000</v>
      </c>
      <c r="C11" s="18">
        <v>293700000</v>
      </c>
      <c r="D11" s="18">
        <v>236200000</v>
      </c>
      <c r="E11" s="18">
        <v>774500000</v>
      </c>
      <c r="F11" s="8" t="s">
        <v>95</v>
      </c>
    </row>
    <row r="12" spans="1:6" x14ac:dyDescent="0.25">
      <c r="A12" t="s">
        <v>32</v>
      </c>
      <c r="B12" s="34">
        <v>985600000</v>
      </c>
      <c r="C12" s="34">
        <v>935300000</v>
      </c>
      <c r="D12" s="34">
        <v>808900000</v>
      </c>
      <c r="E12" s="34">
        <v>724000000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2026-09-19T00:07:49Z</dcterms:modified>
</cp:coreProperties>
</file>