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<sst xmlns="http://schemas.openxmlformats.org/spreadsheetml/2006/main" count="114" uniqueCount="102">
  <si>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Infineon Technologies AG (IFX.DE)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</si>
  <si>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</si>
  <si>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</si>
  <si>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</si>
  <si>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</si>
  <si>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</si>
  <si>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</si>
  <si>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</si>
  <si>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</si>
  <si>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</si>
  <si>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</si>
  <si>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</si>
  <si>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</si>
  <si>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</si>
  <si>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</si>
  <si>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</si>
  <si>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</si>
  <si>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</si>
  <si>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</si>
  <si>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</si>
  <si>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</si>
  <si>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</si>
  <si>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</si>
  <si>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</si>
  <si>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</si>
  <si>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</si>
  <si>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</si>
  <si>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</si>
  <si>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</si>
  <si>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</si>
  <si>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2025-09-30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</si>
  <si>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</si>
  <si>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</si>
  <si>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</si>
  <si>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</si>
  <si>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</si>
  <si>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</si>
  <si>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</si>
  <si>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</si>
  <si>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</si>
  <si>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</si>
  <si>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</si>
  <si>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</si>
  <si>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</si>
  <si>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</si>
  <si>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</si>
  <si>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</si>
  <si>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</si>
  <si>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</si>
  <si>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</si>
  <si>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</si>
  <si>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</si>
  <si>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</si>
  <si>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</si>
  <si>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</si>
  <si>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</si>
  <si>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</si>
  <si>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</si>
  <si>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</si>
  <si>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</si>
  <si>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</si>
  <si>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</si>
  <si>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</si>
  <si>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</si>
  <si>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</si>
  <si>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</si>
  <si>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</si>
  <si>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</si>
  <si>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</si>
  <si>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</si>
  <si>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</si>
  <si>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</si>
  <si>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</si>
  <si>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</si>
  <si>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</si>
  <si>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</si>
  <si>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</si>
  <si>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</si>
  <si>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</si>
  <si>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</si>
  <si>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</si>
  <si>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</si>
  <si>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</si>
  <si>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</si>
  <si>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</si>
  <si>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</si>
  <si>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</si>
  <si>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</si>
  <si>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</si>
  <si>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</si>
  <si>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</si>
  <si>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</si>
  <si>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</si>
  <si>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</si>
  <si>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</si>
  <si>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</si>
  <si>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</si>
  <si>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</si>
  <si>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16.8% of revenue against depreciation of 12.0%.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</si>
  <si>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</si>
  <si>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Current EV/EBITDA of 20.1x sits outside a defensible 3-20x band, so the exit multiple is capped at 20.0x. A multiple that far out usually means EBITDA is the wrong denominator for this business.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</si>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</sst>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0.010302827476500243</v>
      </c>
    </row>
    <row r="7" spans="1:2" x14ac:dyDescent="0.25">
      <c r="A7" t="s">
        <v>5</v>
      </c>
      <c r="B7" s="6">
        <v>0.18658561177696723</v>
      </c>
    </row>
    <row r="8" spans="1:2" x14ac:dyDescent="0.25">
      <c r="A8" t="s">
        <v>6</v>
      </c>
      <c r="B8" s="6">
        <v>0.19832393967415396</v>
      </c>
    </row>
    <row r="9" spans="1:2" x14ac:dyDescent="0.25">
      <c r="A9" t="s">
        <v>7</v>
      </c>
      <c r="B9" s="6">
        <v>0.12000908163364142</v>
      </c>
    </row>
    <row r="10" spans="1:2" x14ac:dyDescent="0.25">
      <c r="A10" t="s">
        <v>8</v>
      </c>
      <c r="B10" s="6">
        <v>0.16766999983050732</v>
      </c>
    </row>
    <row r="11" spans="1:2" x14ac:dyDescent="0.25">
      <c r="A11" t="s">
        <v>9</v>
      </c>
      <c r="B11" s="6">
        <v>-0.17651403249630723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0.11492637678098275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1.6251100000000003</v>
      </c>
      <c r="C19" s="8" t="s">
        <v>19</v>
      </c>
    </row>
    <row r="20" spans="1:2" x14ac:dyDescent="0.25">
      <c r="A20" t="s">
        <v>20</v>
      </c>
      <c r="B20" s="10">
        <f>B17+B19*B18</f>
        <v>0.12350660000000001</v>
      </c>
    </row>
    <row r="21" spans="1:3" x14ac:dyDescent="0.25">
      <c r="A21" t="s">
        <v>21</v>
      </c>
      <c r="B21" s="6">
        <v>0.03569121447028424</v>
      </c>
      <c r="C21" s="8" t="s">
        <v>22</v>
      </c>
    </row>
    <row r="22" spans="1:2" x14ac:dyDescent="0.25">
      <c r="A22" t="s">
        <v>23</v>
      </c>
      <c r="B22" s="11">
        <v>72590049280</v>
      </c>
    </row>
    <row r="23" spans="1:2" x14ac:dyDescent="0.25">
      <c r="A23" t="s">
        <v>24</v>
      </c>
      <c r="B23" s="11">
        <v>7216000000</v>
      </c>
    </row>
    <row r="24" spans="1:2" x14ac:dyDescent="0.25">
      <c r="A24" t="s">
        <v>25</v>
      </c>
      <c r="B24" s="10">
        <f>B22/(B22+B23)</f>
        <v>0.90958078911183</v>
      </c>
    </row>
    <row r="25" spans="1:2" x14ac:dyDescent="0.25">
      <c r="A25" t="s">
        <v>26</v>
      </c>
      <c r="B25" s="10">
        <f>1-B24</f>
        <v>0.09041921088816995</v>
      </c>
    </row>
    <row r="26" spans="1:2" x14ac:dyDescent="0.25">
      <c r="A26" t="s">
        <v>27</v>
      </c>
      <c r="B26" s="12">
        <f>B24*B20+B25*B21*(1-B8)</f>
        <v>0.11492637678098275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14662000000</v>
      </c>
      <c r="C29" s="8" t="s">
        <v>30</v>
      </c>
    </row>
    <row r="30" spans="1:2" x14ac:dyDescent="0.25">
      <c r="A30" t="s">
        <v>31</v>
      </c>
      <c r="B30" s="11">
        <v>5114000000</v>
      </c>
    </row>
    <row r="31" spans="1:2" x14ac:dyDescent="0.25">
      <c r="A31" t="s">
        <v>32</v>
      </c>
      <c r="B31" s="13">
        <v>1307400000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0.010302827476500243</v>
      </c>
      <c r="C5" s="10">
        <f>Assumptions!B6</f>
        <v>0.010302827476500243</v>
      </c>
      <c r="D5" s="10">
        <f>Assumptions!B6</f>
        <v>0.010302827476500243</v>
      </c>
      <c r="E5" s="10">
        <f>Assumptions!B6</f>
        <v>0.010302827476500243</v>
      </c>
      <c r="F5" s="10">
        <f>Assumptions!B6</f>
        <v>0.010302827476500243</v>
      </c>
    </row>
    <row r="6" spans="1:6" x14ac:dyDescent="0.25">
      <c r="A6" t="s">
        <v>43</v>
      </c>
      <c r="B6" s="18">
        <f>Assumptions!B29*(1+B5)</f>
        <v>14813060056.460447</v>
      </c>
      <c r="C6" s="18">
        <f>B6*(1+C5)</f>
        <v>14965676458.621197</v>
      </c>
      <c r="D6" s="18">
        <f>C6*(1+D5)</f>
        <v>15119865241.243492</v>
      </c>
      <c r="E6" s="18">
        <f>D6*(1+E5)</f>
        <v>15275642604.291956</v>
      </c>
      <c r="F6" s="18">
        <f>E6*(1+F5)</f>
        <v>15433024914.636652</v>
      </c>
    </row>
    <row r="7" spans="1:6" x14ac:dyDescent="0.25">
      <c r="A7" t="s">
        <v>5</v>
      </c>
      <c r="B7" s="10">
        <f>Assumptions!B7</f>
        <v>0.18658561177696723</v>
      </c>
      <c r="C7" s="10">
        <f>Assumptions!B7</f>
        <v>0.18658561177696723</v>
      </c>
      <c r="D7" s="10">
        <f>Assumptions!B7</f>
        <v>0.18658561177696723</v>
      </c>
      <c r="E7" s="10">
        <f>Assumptions!B7</f>
        <v>0.18658561177696723</v>
      </c>
      <c r="F7" s="10">
        <f>Assumptions!B7</f>
        <v>0.18658561177696723</v>
      </c>
    </row>
    <row r="8" spans="1:6" x14ac:dyDescent="0.25">
      <c r="A8" t="s">
        <v>44</v>
      </c>
      <c r="B8" s="18">
        <f>B6*B7</f>
        <v>2763903872.9236293</v>
      </c>
      <c r="C8" s="18">
        <f>C6*C7</f>
        <v>2792379897.687992</v>
      </c>
      <c r="D8" s="18">
        <f>D6*D7</f>
        <v>2821149306.022719</v>
      </c>
      <c r="E8" s="18">
        <f>E6*E7</f>
        <v>2850215120.6081195</v>
      </c>
      <c r="F8" s="18">
        <f>F6*F7</f>
        <v>2879580395.266657</v>
      </c>
    </row>
    <row r="9" spans="1:6" x14ac:dyDescent="0.25">
      <c r="A9" t="s">
        <v>45</v>
      </c>
      <c r="B9" s="18">
        <f>B8*(1-Assumptions!B8)</f>
        <v>2215755567.964763</v>
      </c>
      <c r="C9" s="18">
        <f>C8*(1-Assumptions!B8)</f>
        <v>2238584115.311599</v>
      </c>
      <c r="D9" s="18">
        <f>D8*(1-Assumptions!B8)</f>
        <v>2261647861.243288</v>
      </c>
      <c r="E9" s="18">
        <f>E8*(1-Assumptions!B8)</f>
        <v>2284949228.9702735</v>
      </c>
      <c r="F9" s="18">
        <f>F8*(1-Assumptions!B8)</f>
        <v>2308490666.668916</v>
      </c>
    </row>
    <row r="10" spans="1:6" x14ac:dyDescent="0.25">
      <c r="A10" t="s">
        <v>46</v>
      </c>
      <c r="B10" s="18">
        <f>B6*Assumptions!B9</f>
        <v>1777701733.559795</v>
      </c>
      <c r="C10" s="18">
        <f>C6*Assumptions!B9</f>
        <v>1796017087.825337</v>
      </c>
      <c r="D10" s="18">
        <f>D6*Assumptions!B9</f>
        <v>1814521142.0260477</v>
      </c>
      <c r="E10" s="18">
        <f>E6*Assumptions!B9</f>
        <v>1833215840.304804</v>
      </c>
      <c r="F10" s="18">
        <f>F6*Assumptions!B9</f>
        <v>1852103146.834652</v>
      </c>
    </row>
    <row r="11" spans="1:6" x14ac:dyDescent="0.25">
      <c r="A11" t="s">
        <v>47</v>
      </c>
      <c r="B11" s="18">
        <f>-B6*Assumptions!B10</f>
        <v>-2483705777.156018</v>
      </c>
      <c r="C11" s="18">
        <f>-C6*Assumptions!B10</f>
        <v>-2509294969.280443</v>
      </c>
      <c r="D11" s="18">
        <f>-D6*Assumptions!B10</f>
        <v>-2535147802.4365897</v>
      </c>
      <c r="E11" s="18">
        <f>-E6*Assumptions!B10</f>
        <v>-2561266992.8725224</v>
      </c>
      <c r="F11" s="18">
        <f>-F6*Assumptions!B10</f>
        <v>-2587655284.8213425</v>
      </c>
    </row>
    <row r="12" spans="1:6" x14ac:dyDescent="0.25">
      <c r="A12" t="s">
        <v>48</v>
      </c>
      <c r="B12" s="18">
        <f>-(B6-Assumptions!B29)*Assumptions!B11</f>
        <v>26664219.7149534</v>
      </c>
      <c r="C12" s="18">
        <f>-(C6-B6)*Assumptions!B11</f>
        <v>26938936.57047202</v>
      </c>
      <c r="D12" s="18">
        <f>-(D6-C6)*Assumptions!B11</f>
        <v>27216483.7863579</v>
      </c>
      <c r="E12" s="18">
        <f>-(E6-D6)*Assumptions!B11</f>
        <v>27496890.523325592</v>
      </c>
      <c r="F12" s="18">
        <f>-(F6-E6)*Assumptions!B11</f>
        <v>27780186.24252759</v>
      </c>
    </row>
    <row r="13" spans="1:6" x14ac:dyDescent="0.25">
      <c r="A13" s="19" t="s">
        <v>49</v>
      </c>
      <c r="B13" s="20">
        <f>B9+B10+B11+B12</f>
        <v>1536415744.0834937</v>
      </c>
      <c r="C13" s="20">
        <f>C9+C10+C11+C12</f>
        <v>1552245170.4269645</v>
      </c>
      <c r="D13" s="20">
        <f>D9+D10+D11+D12</f>
        <v>1568237684.619104</v>
      </c>
      <c r="E13" s="20">
        <f>E9+E10+E11+E12</f>
        <v>1584394966.9258811</v>
      </c>
      <c r="F13" s="20">
        <f>F9+F10+F11+F12</f>
        <v>1600718714.9247532</v>
      </c>
    </row>
    <row r="14" spans="1:6" x14ac:dyDescent="0.25">
      <c r="A14" t="s">
        <v>50</v>
      </c>
      <c r="B14" s="21">
        <f>1/(1+Assumptions!$B$26)^(1-0.5*Assumptions!$B$32)</f>
        <v>0.9470587151822986</v>
      </c>
      <c r="C14" s="21">
        <f>1/(1+Assumptions!$B$26)^(2-0.5*Assumptions!$B$32)</f>
        <v>0.8494361017062383</v>
      </c>
      <c r="D14" s="21">
        <f>1/(1+Assumptions!$B$26)^(3-0.5*Assumptions!$B$32)</f>
        <v>0.7618764067262734</v>
      </c>
      <c r="E14" s="21">
        <f>1/(1+Assumptions!$B$26)^(4-0.5*Assumptions!$B$32)</f>
        <v>0.6833423467170668</v>
      </c>
      <c r="F14" s="21">
        <f>1/(1+Assumptions!$B$26)^(5-0.5*Assumptions!$B$32)</f>
        <v>0.612903561121241</v>
      </c>
    </row>
    <row r="15" spans="1:6" x14ac:dyDescent="0.25">
      <c r="A15" s="19" t="s">
        <v>51</v>
      </c>
      <c r="B15" s="20">
        <f>B13*B14</f>
        <v>1455075920.5775688</v>
      </c>
      <c r="C15" s="20">
        <f>C13*C14</f>
        <v>1318533086.4598162</v>
      </c>
      <c r="D15" s="20">
        <f>D13*D14</f>
        <v>1194803292.0503337</v>
      </c>
      <c r="E15" s="20">
        <f>E13*E14</f>
        <v>1082684174.8258412</v>
      </c>
      <c r="F15" s="20">
        <f>F13*F14</f>
        <v>981086200.7307978</v>
      </c>
    </row>
    <row r="17" spans="1:2" x14ac:dyDescent="0.25">
      <c r="A17" s="22" t="s">
        <v>52</v>
      </c>
      <c r="B17" s="23">
        <f>SUM(B15:F15)</f>
        <v>6032182674.644358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1600718714.9247532</v>
      </c>
    </row>
    <row r="5" spans="1:2" x14ac:dyDescent="0.25">
      <c r="A5" t="s">
        <v>56</v>
      </c>
      <c r="B5" s="18">
        <f>IF(Assumptions!$B$33=0,B4,B4-Forecast!F11-Forecast!F10-Forecast!F12)</f>
        <v>2633381401.843639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0.2175305678316384</v>
      </c>
    </row>
    <row r="7" spans="1:2" x14ac:dyDescent="0.25">
      <c r="A7" t="s">
        <v>58</v>
      </c>
      <c r="B7" s="18">
        <f>-MAX(Forecast!F9,0)*B6</f>
        <v>-572840951.6603227</v>
      </c>
    </row>
    <row r="8" spans="1:2" x14ac:dyDescent="0.25">
      <c r="A8" t="s">
        <v>59</v>
      </c>
      <c r="B8" s="18">
        <f>IF(OR(Assumptions!$B$33=0,Assumptions!B12&lt;=0),B5,MAX(B5+B7,0))</f>
        <v>2060540450.1833162</v>
      </c>
    </row>
    <row r="9" spans="1:2" x14ac:dyDescent="0.25">
      <c r="A9" t="s">
        <v>60</v>
      </c>
      <c r="B9" s="18">
        <f>B8*(1+Assumptions!B12)/(Assumptions!B26-Assumptions!B12)</f>
        <v>23486479018.073227</v>
      </c>
    </row>
    <row r="10" spans="1:2" x14ac:dyDescent="0.25">
      <c r="A10" t="s">
        <v>61</v>
      </c>
      <c r="B10" s="18">
        <f>B9/(1+Assumptions!B26)^(5-0.5*Assumptions!B32)</f>
        <v>14394946628.376389</v>
      </c>
    </row>
    <row r="11" spans="1:2" x14ac:dyDescent="0.25">
      <c r="A11" t="s">
        <v>62</v>
      </c>
      <c r="B11" s="18">
        <f>Forecast!B17+B10</f>
        <v>20427129303.020744</v>
      </c>
    </row>
    <row r="12" spans="1:2" x14ac:dyDescent="0.25">
      <c r="A12" t="s">
        <v>63</v>
      </c>
      <c r="B12" s="18">
        <f>-Assumptions!B30</f>
        <v>-5114000000</v>
      </c>
    </row>
    <row r="13" spans="1:2" x14ac:dyDescent="0.25">
      <c r="A13" t="s">
        <v>64</v>
      </c>
      <c r="B13" s="18">
        <f>B11+B12</f>
        <v>15313129303.020744</v>
      </c>
    </row>
    <row r="14" spans="1:2" x14ac:dyDescent="0.25">
      <c r="A14" s="19" t="s">
        <v>65</v>
      </c>
      <c r="B14" s="24">
        <f>B13/Assumptions!B31</f>
        <v>11.712658178844075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4731683542.101309</v>
      </c>
    </row>
    <row r="18" spans="1:2" x14ac:dyDescent="0.25">
      <c r="A18" t="s">
        <v>60</v>
      </c>
      <c r="B18" s="18">
        <f>B17*Assumptions!B13</f>
        <v>94633670842.02618</v>
      </c>
    </row>
    <row r="19" spans="1:2" x14ac:dyDescent="0.25">
      <c r="A19" t="s">
        <v>61</v>
      </c>
      <c r="B19" s="18">
        <f>B18/(1+Assumptions!B26)^(5-0.5*Assumptions!B32)</f>
        <v>58001313861.0532</v>
      </c>
    </row>
    <row r="20" spans="1:2" x14ac:dyDescent="0.25">
      <c r="A20" t="s">
        <v>62</v>
      </c>
      <c r="B20" s="18">
        <f>Forecast!B17+B19</f>
        <v>64033496535.697556</v>
      </c>
    </row>
    <row r="21" spans="1:2" x14ac:dyDescent="0.25">
      <c r="A21" t="s">
        <v>63</v>
      </c>
      <c r="B21" s="18">
        <f>-Assumptions!B30</f>
        <v>-5114000000</v>
      </c>
    </row>
    <row r="22" spans="1:2" x14ac:dyDescent="0.25">
      <c r="A22" t="s">
        <v>64</v>
      </c>
      <c r="B22" s="18">
        <f>B20+B21</f>
        <v>58919496535.697556</v>
      </c>
    </row>
    <row r="23" spans="1:2" x14ac:dyDescent="0.25">
      <c r="A23" s="19" t="s">
        <v>65</v>
      </c>
      <c r="B23" s="25">
        <f>B22/Assumptions!B31</f>
        <v>45.06615919817772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11.712658178844075</v>
      </c>
    </row>
    <row r="29" spans="1:2" x14ac:dyDescent="0.25">
      <c r="A29" s="19" t="s">
        <v>73</v>
      </c>
      <c r="B29" s="12">
        <f>B28/B26-1</f>
        <v>-0.7903211926451115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0.094926</v>
      </c>
      <c r="B5" s="31">
        <v>15.40786323528848</v>
      </c>
      <c r="C5" s="31">
        <v>15.558753163080626</v>
      </c>
      <c r="D5" s="31">
        <v>15.721835765988363</v>
      </c>
      <c r="E5" s="31">
        <v>15.899927945202808</v>
      </c>
      <c r="F5" s="31">
        <v>16.096786728468185</v>
      </c>
    </row>
    <row r="6" spans="1:6" x14ac:dyDescent="0.25">
      <c r="A6" s="30">
        <v>0.104926</v>
      </c>
      <c r="B6" s="31">
        <v>13.235677420056556</v>
      </c>
      <c r="C6" s="31">
        <v>13.29693965012779</v>
      </c>
      <c r="D6" s="31">
        <v>13.35820188019902</v>
      </c>
      <c r="E6" s="31">
        <v>13.419464110270251</v>
      </c>
      <c r="F6" s="31">
        <v>13.480726340341477</v>
      </c>
    </row>
    <row r="7" spans="1:6" x14ac:dyDescent="0.25">
      <c r="A7" s="30">
        <v>0.114926</v>
      </c>
      <c r="B7" s="31">
        <v>11.60529593546125</v>
      </c>
      <c r="C7" s="31">
        <v>11.659005273722627</v>
      </c>
      <c r="D7" s="32">
        <v>11.712714611984003</v>
      </c>
      <c r="E7" s="31">
        <v>11.76642395024538</v>
      </c>
      <c r="F7" s="31">
        <v>11.820133288506755</v>
      </c>
    </row>
    <row r="8" spans="1:6" x14ac:dyDescent="0.25">
      <c r="A8" s="30">
        <v>0.124926</v>
      </c>
      <c r="B8" s="31">
        <v>10.243913901597901</v>
      </c>
      <c r="C8" s="31">
        <v>10.291377936818433</v>
      </c>
      <c r="D8" s="31">
        <v>10.338841972038965</v>
      </c>
      <c r="E8" s="31">
        <v>10.386306007259504</v>
      </c>
      <c r="F8" s="31">
        <v>10.433770042480036</v>
      </c>
    </row>
    <row r="9" spans="1:6" x14ac:dyDescent="0.25">
      <c r="A9" s="30">
        <v>0.134926</v>
      </c>
      <c r="B9" s="31">
        <v>9.091298325140604</v>
      </c>
      <c r="C9" s="31">
        <v>9.133528773085448</v>
      </c>
      <c r="D9" s="31">
        <v>9.17575922103029</v>
      </c>
      <c r="E9" s="31">
        <v>9.217989668975134</v>
      </c>
      <c r="F9" s="31">
        <v>9.260220116919978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14662000000</v>
      </c>
      <c r="C5" s="18">
        <v>14955000000</v>
      </c>
      <c r="D5" s="18">
        <v>16309000000</v>
      </c>
      <c r="E5" s="18">
        <v>14218000000</v>
      </c>
      <c r="F5" s="8" t="s">
        <v>84</v>
      </c>
    </row>
    <row r="6" spans="1:6" x14ac:dyDescent="0.25">
      <c r="A6" t="s">
        <v>44</v>
      </c>
      <c r="B6" s="18">
        <v>1944000000</v>
      </c>
      <c r="C6" s="18">
        <v>2566000000</v>
      </c>
      <c r="D6" s="18">
        <v>3948000000</v>
      </c>
      <c r="E6" s="18">
        <v>2845000000</v>
      </c>
      <c r="F6" s="8" t="s">
        <v>85</v>
      </c>
    </row>
    <row r="7" spans="1:6" x14ac:dyDescent="0.25">
      <c r="A7" t="s">
        <v>86</v>
      </c>
      <c r="B7" s="18">
        <v>1917000000</v>
      </c>
      <c r="C7" s="18">
        <v>1865000000</v>
      </c>
      <c r="D7" s="18">
        <v>1754000000</v>
      </c>
      <c r="E7" s="18">
        <v>1664000000</v>
      </c>
      <c r="F7" s="8" t="s">
        <v>87</v>
      </c>
    </row>
    <row r="8" spans="1:6" x14ac:dyDescent="0.25">
      <c r="A8" t="s">
        <v>88</v>
      </c>
      <c r="B8" s="18">
        <v>2094000000</v>
      </c>
      <c r="C8" s="18">
        <v>2719000000</v>
      </c>
      <c r="D8" s="18">
        <v>2994000000</v>
      </c>
      <c r="E8" s="18">
        <v>2310000000</v>
      </c>
      <c r="F8" s="8" t="s">
        <v>89</v>
      </c>
    </row>
    <row r="9" spans="1:6" x14ac:dyDescent="0.25">
      <c r="A9" t="s">
        <v>90</v>
      </c>
      <c r="B9" s="18">
        <v>178000000</v>
      </c>
      <c r="C9" s="18">
        <v>239000000</v>
      </c>
      <c r="D9" s="18">
        <v>1149000000</v>
      </c>
      <c r="E9" s="18">
        <v>78000000</v>
      </c>
      <c r="F9" s="8" t="s">
        <v>91</v>
      </c>
    </row>
    <row r="10" spans="1:6" x14ac:dyDescent="0.25">
      <c r="A10" t="s">
        <v>92</v>
      </c>
      <c r="B10" s="18">
        <v>7216000000</v>
      </c>
      <c r="C10" s="18">
        <v>5168000000</v>
      </c>
      <c r="D10" s="18">
        <v>5114000000</v>
      </c>
      <c r="E10" s="18">
        <v>6048000000</v>
      </c>
      <c r="F10" s="8" t="s">
        <v>93</v>
      </c>
    </row>
    <row r="11" spans="1:6" x14ac:dyDescent="0.25">
      <c r="A11" t="s">
        <v>94</v>
      </c>
      <c r="B11" s="18">
        <v>2102000000</v>
      </c>
      <c r="C11" s="18">
        <v>2201000000</v>
      </c>
      <c r="D11" s="18">
        <v>3590000000</v>
      </c>
      <c r="E11" s="18">
        <v>3717000000</v>
      </c>
      <c r="F11" s="8" t="s">
        <v>95</v>
      </c>
    </row>
    <row r="12" spans="1:6" x14ac:dyDescent="0.25">
      <c r="A12" t="s">
        <v>32</v>
      </c>
      <c r="B12" s="34">
        <v>1307400000</v>
      </c>
      <c r="C12" s="34">
        <v>1305000000</v>
      </c>
      <c r="D12" s="34">
        <v>1306000000</v>
      </c>
      <c r="E12" s="34">
        <v>1303600000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