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<sst xmlns="http://schemas.openxmlformats.org/spreadsheetml/2006/main" count="113" uniqueCount="101">
  <si>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Italgas S.p.A. (IG.MI)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</si>
  <si>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</si>
  <si>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</si>
  <si>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</si>
  <si>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</si>
  <si>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</si>
  <si>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</si>
  <si>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</si>
  <si>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</si>
  <si>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</si>
  <si>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</si>
  <si>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</si>
  <si>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</si>
  <si>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</si>
  <si>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</si>
  <si>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</si>
  <si>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</si>
  <si>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</si>
  <si>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</si>
  <si>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</si>
  <si>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</si>
  <si>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</si>
  <si>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</si>
  <si>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</si>
  <si>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</si>
  <si>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</si>
  <si>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</si>
  <si>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</si>
  <si>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</si>
  <si>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</si>
  <si>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</si>
  <si>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</si>
  <si>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</si>
  <si>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</si>
  <si>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</si>
  <si>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</si>
  <si>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</si>
  <si>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</si>
  <si>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</si>
  <si>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</si>
  <si>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</si>
  <si>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</si>
  <si>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</si>
  <si>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</si>
  <si>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</si>
  <si>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</si>
  <si>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</si>
  <si>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</si>
  <si>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</si>
  <si>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</si>
  <si>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</si>
  <si>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</si>
  <si>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</si>
  <si>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</si>
  <si>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</si>
  <si>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</si>
  <si>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</si>
  <si>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</si>
  <si>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</si>
  <si>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</si>
  <si>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</si>
  <si>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</si>
  <si>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</si>
  <si>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</si>
  <si>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</si>
  <si>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</si>
  <si>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</si>
  <si>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</si>
  <si>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</si>
  <si>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</si>
  <si>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</si>
  <si>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</si>
  <si>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</si>
  <si>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</si>
  <si>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</si>
  <si>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</si>
  <si>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</si>
  <si>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</si>
  <si>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</si>
  <si>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</si>
  <si>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</si>
  <si>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</si>
  <si>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</si>
  <si>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</si>
  <si>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</si>
  <si>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</si>
  <si>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</si>
  <si>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</si>
  <si>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</si>
  <si>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</si>
  <si>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</si>
  <si>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</si>
  <si>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</si>
  <si>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</si>
  <si>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</si>
  <si>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</si>
  <si>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</si>
  <si>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</si>
  <si>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34.1% of revenue against depreciation of 21.4%.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</si>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</sst>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0.1713865135291348</v>
      </c>
    </row>
    <row r="7" spans="1:2" x14ac:dyDescent="0.25">
      <c r="A7" t="s">
        <v>5</v>
      </c>
      <c r="B7" s="6">
        <v>0.3122178023361862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0.21399816141150757</v>
      </c>
    </row>
    <row r="10" spans="1:2" x14ac:dyDescent="0.25">
      <c r="A10" t="s">
        <v>8</v>
      </c>
      <c r="B10" s="6">
        <v>0.3405700903551059</v>
      </c>
    </row>
    <row r="11" spans="1:2" x14ac:dyDescent="0.25">
      <c r="A11" t="s">
        <v>9</v>
      </c>
      <c r="B11" s="6">
        <v>-0.1214178674687445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10.041061835044145</v>
      </c>
    </row>
    <row r="14" spans="1:3" x14ac:dyDescent="0.25">
      <c r="A14" t="s">
        <v>12</v>
      </c>
      <c r="B14" s="6">
        <v>0.06114840369268837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0.78225</v>
      </c>
      <c r="C19" s="8" t="s">
        <v>19</v>
      </c>
    </row>
    <row r="20" spans="1:2" x14ac:dyDescent="0.25">
      <c r="A20" t="s">
        <v>20</v>
      </c>
      <c r="B20" s="10">
        <f>B17+B19*B18</f>
        <v>0.09284625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8598596608</v>
      </c>
    </row>
    <row r="23" spans="1:2" x14ac:dyDescent="0.25">
      <c r="A23" t="s">
        <v>24</v>
      </c>
      <c r="B23" s="11">
        <v>11415642000</v>
      </c>
    </row>
    <row r="24" spans="1:2" x14ac:dyDescent="0.25">
      <c r="A24" t="s">
        <v>25</v>
      </c>
      <c r="B24" s="10">
        <f>B22/(B22+B23)</f>
        <v>0.42962396803658615</v>
      </c>
    </row>
    <row r="25" spans="1:2" x14ac:dyDescent="0.25">
      <c r="A25" t="s">
        <v>26</v>
      </c>
      <c r="B25" s="10">
        <f>1-B24</f>
        <v>0.5703760319634139</v>
      </c>
    </row>
    <row r="26" spans="1:2" x14ac:dyDescent="0.25">
      <c r="A26" t="s">
        <v>27</v>
      </c>
      <c r="B26" s="12">
        <f>B24*B20+B25*B21*(1-B8)</f>
        <v>0.05785581934916443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3508303000</v>
      </c>
      <c r="C29" s="8" t="s">
        <v>30</v>
      </c>
    </row>
    <row r="30" spans="1:2" x14ac:dyDescent="0.25">
      <c r="A30" t="s">
        <v>31</v>
      </c>
      <c r="B30" s="11">
        <v>10924260000</v>
      </c>
    </row>
    <row r="31" spans="1:2" x14ac:dyDescent="0.25">
      <c r="A31" t="s">
        <v>32</v>
      </c>
      <c r="B31" s="13">
        <v>1015686402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0.1713865135291348</v>
      </c>
      <c r="C5" s="10">
        <f>Assumptions!B6</f>
        <v>0.1713865135291348</v>
      </c>
      <c r="D5" s="10">
        <f>Assumptions!B6</f>
        <v>0.1713865135291348</v>
      </c>
      <c r="E5" s="10">
        <f>Assumptions!B6</f>
        <v>0.1713865135291348</v>
      </c>
      <c r="F5" s="10">
        <f>Assumptions!B6</f>
        <v>0.1713865135291348</v>
      </c>
    </row>
    <row r="6" spans="1:6" x14ac:dyDescent="0.25">
      <c r="A6" t="s">
        <v>43</v>
      </c>
      <c r="B6" s="18">
        <f>Assumptions!B29*(1+B5)</f>
        <v>4109578819.5738044</v>
      </c>
      <c r="C6" s="18">
        <f>B6*(1+C5)</f>
        <v>4813905205.533736</v>
      </c>
      <c r="D6" s="18">
        <f>C6*(1+D5)</f>
        <v>5638943635.169916</v>
      </c>
      <c r="E6" s="18">
        <f>D6*(1+E5)</f>
        <v>6605382524.788994</v>
      </c>
      <c r="F6" s="18">
        <f>E6*(1+F5)</f>
        <v>7737456006.238853</v>
      </c>
    </row>
    <row r="7" spans="1:6" x14ac:dyDescent="0.25">
      <c r="A7" t="s">
        <v>5</v>
      </c>
      <c r="B7" s="10">
        <f>Assumptions!B7</f>
        <v>0.3122178023361862</v>
      </c>
      <c r="C7" s="10">
        <f>Assumptions!B7</f>
        <v>0.3122178023361862</v>
      </c>
      <c r="D7" s="10">
        <f>Assumptions!B7</f>
        <v>0.3122178023361862</v>
      </c>
      <c r="E7" s="10">
        <f>Assumptions!B7</f>
        <v>0.3122178023361862</v>
      </c>
      <c r="F7" s="10">
        <f>Assumptions!B7</f>
        <v>0.3122178023361862</v>
      </c>
    </row>
    <row r="8" spans="1:6" x14ac:dyDescent="0.25">
      <c r="A8" t="s">
        <v>44</v>
      </c>
      <c r="B8" s="18">
        <f>B6*B7</f>
        <v>1283083667.5746713</v>
      </c>
      <c r="C8" s="18">
        <f>C6*C7</f>
        <v>1502986903.9264698</v>
      </c>
      <c r="D8" s="18">
        <f>D6*D7</f>
        <v>1760578589.270376</v>
      </c>
      <c r="E8" s="18">
        <f>E6*E7</f>
        <v>2062318015.4794686</v>
      </c>
      <c r="F8" s="18">
        <f>F6*F7</f>
        <v>2415771509.940819</v>
      </c>
    </row>
    <row r="9" spans="1:6" x14ac:dyDescent="0.25">
      <c r="A9" t="s">
        <v>45</v>
      </c>
      <c r="B9" s="18">
        <f>B8*(1-Assumptions!B8)</f>
        <v>962312750.6810035</v>
      </c>
      <c r="C9" s="18">
        <f>C8*(1-Assumptions!B8)</f>
        <v>1127240177.9448524</v>
      </c>
      <c r="D9" s="18">
        <f>D8*(1-Assumptions!B8)</f>
        <v>1320433941.952782</v>
      </c>
      <c r="E9" s="18">
        <f>E8*(1-Assumptions!B8)</f>
        <v>1546738511.6096015</v>
      </c>
      <c r="F9" s="18">
        <f>F8*(1-Assumptions!B8)</f>
        <v>1811828632.455614</v>
      </c>
    </row>
    <row r="10" spans="1:6" x14ac:dyDescent="0.25">
      <c r="A10" t="s">
        <v>46</v>
      </c>
      <c r="B10" s="18">
        <f>B6*Assumptions!B9</f>
        <v>879442311.5644678</v>
      </c>
      <c r="C10" s="18">
        <f>C6*Assumptions!B9</f>
        <v>1030166863.193505</v>
      </c>
      <c r="D10" s="18">
        <f>D6*Assumptions!B9</f>
        <v>1206723570.229485</v>
      </c>
      <c r="E10" s="18">
        <f>E6*Assumptions!B9</f>
        <v>1413539715.7245464</v>
      </c>
      <c r="F10" s="18">
        <f>F6*Assumptions!B9</f>
        <v>1655801359.3375409</v>
      </c>
    </row>
    <row r="11" spans="1:6" x14ac:dyDescent="0.25">
      <c r="A11" t="s">
        <v>47</v>
      </c>
      <c r="B11" s="18">
        <f>-B6*Assumptions!B10</f>
        <v>-1399599629.9036798</v>
      </c>
      <c r="C11" s="18">
        <f>-C6*Assumptions!B10</f>
        <v>-1639472130.809539</v>
      </c>
      <c r="D11" s="18">
        <f>-D6*Assumptions!B10</f>
        <v>-1920455543.3371675</v>
      </c>
      <c r="E11" s="18">
        <f>-E6*Assumptions!B10</f>
        <v>-2249595723.2974253</v>
      </c>
      <c r="F11" s="18">
        <f>-F6*Assumptions!B10</f>
        <v>-2635146091.163423</v>
      </c>
    </row>
    <row r="12" spans="1:6" x14ac:dyDescent="0.25">
      <c r="A12" t="s">
        <v>48</v>
      </c>
      <c r="B12" s="18">
        <f>-(B6-Assumptions!B29)*Assumptions!B11</f>
        <v>73005627.77317291</v>
      </c>
      <c r="C12" s="18">
        <f>-(C6-B6)*Assumptions!B11</f>
        <v>85517807.7852228</v>
      </c>
      <c r="D12" s="18">
        <f>-(D6-C6)*Assumptions!B11</f>
        <v>100174406.70618677</v>
      </c>
      <c r="E12" s="18">
        <f>-(E6-D6)*Assumptions!B11</f>
        <v>117342949.01640977</v>
      </c>
      <c r="F12" s="18">
        <f>-(F6-E6)*Assumptions!B11</f>
        <v>137453947.93555924</v>
      </c>
    </row>
    <row r="13" spans="1:6" x14ac:dyDescent="0.25">
      <c r="A13" s="19" t="s">
        <v>49</v>
      </c>
      <c r="B13" s="20">
        <f>B9+B10+B11+B12</f>
        <v>515161060.1149643</v>
      </c>
      <c r="C13" s="20">
        <f>C9+C10+C11+C12</f>
        <v>603452718.1140409</v>
      </c>
      <c r="D13" s="20">
        <f>D9+D10+D11+D12</f>
        <v>706876375.5512865</v>
      </c>
      <c r="E13" s="20">
        <f>E9+E10+E11+E12</f>
        <v>828025453.0531324</v>
      </c>
      <c r="F13" s="20">
        <f>F9+F10+F11+F12</f>
        <v>969937848.5652909</v>
      </c>
    </row>
    <row r="14" spans="1:6" x14ac:dyDescent="0.25">
      <c r="A14" t="s">
        <v>50</v>
      </c>
      <c r="B14" s="21">
        <f>1/(1+Assumptions!$B$26)^(1-0.5*Assumptions!$B$32)</f>
        <v>0.9722697195448875</v>
      </c>
      <c r="C14" s="21">
        <f>1/(1+Assumptions!$B$26)^(2-0.5*Assumptions!$B$32)</f>
        <v>0.9190947402861261</v>
      </c>
      <c r="D14" s="21">
        <f>1/(1+Assumptions!$B$26)^(3-0.5*Assumptions!$B$32)</f>
        <v>0.8688279853218468</v>
      </c>
      <c r="E14" s="21">
        <f>1/(1+Assumptions!$B$26)^(4-0.5*Assumptions!$B$32)</f>
        <v>0.8213103992341647</v>
      </c>
      <c r="F14" s="21">
        <f>1/(1+Assumptions!$B$26)^(5-0.5*Assumptions!$B$32)</f>
        <v>0.7763916255992881</v>
      </c>
    </row>
    <row r="15" spans="1:6" x14ac:dyDescent="0.25">
      <c r="A15" s="19" t="s">
        <v>51</v>
      </c>
      <c r="B15" s="20">
        <f>B13*B14</f>
        <v>500875499.4384233</v>
      </c>
      <c r="C15" s="20">
        <f>C13*C14</f>
        <v>554630219.2299813</v>
      </c>
      <c r="D15" s="20">
        <f>D13*D14</f>
        <v>614153977.2418333</v>
      </c>
      <c r="E15" s="20">
        <f>E13*E14</f>
        <v>680065915.4231184</v>
      </c>
      <c r="F15" s="20">
        <f>F13*F14</f>
        <v>753051622.9778824</v>
      </c>
    </row>
    <row r="17" spans="1:2" x14ac:dyDescent="0.25">
      <c r="A17" s="22" t="s">
        <v>52</v>
      </c>
      <c r="B17" s="23">
        <f>SUM(B15:F15)</f>
        <v>3102777234.3112383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969937848.5652909</v>
      </c>
    </row>
    <row r="5" spans="1:2" x14ac:dyDescent="0.25">
      <c r="A5" t="s">
        <v>56</v>
      </c>
      <c r="B5" s="18">
        <f>IF(Assumptions!$B$33=0,B4,B4-Forecast!F11-Forecast!F10-Forecast!F12)</f>
        <v>2939101494.137721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0.4088414167872922</v>
      </c>
    </row>
    <row r="7" spans="1:2" x14ac:dyDescent="0.25">
      <c r="A7" t="s">
        <v>58</v>
      </c>
      <c r="B7" s="18">
        <f>-MAX(Forecast!F9,0)*B6</f>
        <v>-1201626418.9449131</v>
      </c>
    </row>
    <row r="8" spans="1:2" x14ac:dyDescent="0.25">
      <c r="A8" t="s">
        <v>59</v>
      </c>
      <c r="B8" s="18">
        <f>IF(OR(Assumptions!$B$33=0,Assumptions!B12&lt;=0),B5,MAX(B5+B7,0))</f>
        <v>1737475075.192808</v>
      </c>
    </row>
    <row r="9" spans="1:2" x14ac:dyDescent="0.25">
      <c r="A9" t="s">
        <v>60</v>
      </c>
      <c r="B9" s="18">
        <f>B8*(1+Assumptions!B12)/(Assumptions!B26-Assumptions!B12)</f>
        <v>54203851474.4244</v>
      </c>
    </row>
    <row r="10" spans="1:2" x14ac:dyDescent="0.25">
      <c r="A10" t="s">
        <v>61</v>
      </c>
      <c r="B10" s="18">
        <f>B9/(1+Assumptions!B26)^(5-0.5*Assumptions!B32)</f>
        <v>42083416359.970726</v>
      </c>
    </row>
    <row r="11" spans="1:2" x14ac:dyDescent="0.25">
      <c r="A11" t="s">
        <v>62</v>
      </c>
      <c r="B11" s="18">
        <f>Forecast!B17+B10</f>
        <v>45186193594.28197</v>
      </c>
    </row>
    <row r="12" spans="1:2" x14ac:dyDescent="0.25">
      <c r="A12" t="s">
        <v>63</v>
      </c>
      <c r="B12" s="18">
        <f>-Assumptions!B30</f>
        <v>-10924260000</v>
      </c>
    </row>
    <row r="13" spans="1:2" x14ac:dyDescent="0.25">
      <c r="A13" t="s">
        <v>64</v>
      </c>
      <c r="B13" s="18">
        <f>B11+B12</f>
        <v>34261933594.281967</v>
      </c>
    </row>
    <row r="14" spans="1:2" x14ac:dyDescent="0.25">
      <c r="A14" s="19" t="s">
        <v>65</v>
      </c>
      <c r="B14" s="24">
        <f>B13/Assumptions!B31</f>
        <v>33.732787528528874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4071572869.2783594</v>
      </c>
    </row>
    <row r="18" spans="1:2" x14ac:dyDescent="0.25">
      <c r="A18" t="s">
        <v>60</v>
      </c>
      <c r="B18" s="18">
        <f>B17*Assumptions!B13</f>
        <v>40882914946.31212</v>
      </c>
    </row>
    <row r="19" spans="1:2" x14ac:dyDescent="0.25">
      <c r="A19" t="s">
        <v>61</v>
      </c>
      <c r="B19" s="18">
        <f>B18/(1+Assumptions!B26)^(5-0.5*Assumptions!B32)</f>
        <v>31741152794.404697</v>
      </c>
    </row>
    <row r="20" spans="1:2" x14ac:dyDescent="0.25">
      <c r="A20" t="s">
        <v>62</v>
      </c>
      <c r="B20" s="18">
        <f>Forecast!B17+B19</f>
        <v>34843930028.715935</v>
      </c>
    </row>
    <row r="21" spans="1:2" x14ac:dyDescent="0.25">
      <c r="A21" t="s">
        <v>63</v>
      </c>
      <c r="B21" s="18">
        <f>-Assumptions!B30</f>
        <v>-10924260000</v>
      </c>
    </row>
    <row r="22" spans="1:2" x14ac:dyDescent="0.25">
      <c r="A22" t="s">
        <v>64</v>
      </c>
      <c r="B22" s="18">
        <f>B20+B21</f>
        <v>23919670028.715935</v>
      </c>
    </row>
    <row r="23" spans="1:2" x14ac:dyDescent="0.25">
      <c r="A23" s="19" t="s">
        <v>65</v>
      </c>
      <c r="B23" s="25">
        <f>B22/Assumptions!B31</f>
        <v>23.55025131932005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33.732787528528874</v>
      </c>
    </row>
    <row r="29" spans="1:2" x14ac:dyDescent="0.25">
      <c r="A29" s="19" t="s">
        <v>73</v>
      </c>
      <c r="B29" s="12">
        <f>B28/B26-1</f>
        <v>2.9920458613643643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0.037856</v>
      </c>
      <c r="B5" s="31">
        <v>74.51160139616715</v>
      </c>
      <c r="C5" s="31">
        <v>86.56919352998432</v>
      </c>
      <c r="D5" s="31">
        <v>107.85003638318025</v>
      </c>
      <c r="E5" s="31">
        <v>155.9647155961168</v>
      </c>
      <c r="F5" s="31">
        <v>371.84724566323047</v>
      </c>
    </row>
    <row r="6" spans="1:6" x14ac:dyDescent="0.25">
      <c r="A6" s="30">
        <v>0.047856</v>
      </c>
      <c r="B6" s="31">
        <v>47.04545367208846</v>
      </c>
      <c r="C6" s="31">
        <v>50.154972103653954</v>
      </c>
      <c r="D6" s="31">
        <v>54.54108824608665</v>
      </c>
      <c r="E6" s="31">
        <v>61.27621281080053</v>
      </c>
      <c r="F6" s="31">
        <v>73.10109924631905</v>
      </c>
    </row>
    <row r="7" spans="1:6" x14ac:dyDescent="0.25">
      <c r="A7" s="30">
        <v>0.057856</v>
      </c>
      <c r="B7" s="31">
        <v>32.45632679890616</v>
      </c>
      <c r="C7" s="31">
        <v>33.03441037288709</v>
      </c>
      <c r="D7" s="32">
        <v>33.732526466294686</v>
      </c>
      <c r="E7" s="31">
        <v>34.6153106259196</v>
      </c>
      <c r="F7" s="31">
        <v>35.80395732994086</v>
      </c>
    </row>
    <row r="8" spans="1:6" x14ac:dyDescent="0.25">
      <c r="A8" s="30">
        <v>0.067856</v>
      </c>
      <c r="B8" s="31">
        <v>24.435450385500868</v>
      </c>
      <c r="C8" s="31">
        <v>24.594133084898708</v>
      </c>
      <c r="D8" s="31">
        <v>24.75281578429654</v>
      </c>
      <c r="E8" s="31">
        <v>24.911498483694388</v>
      </c>
      <c r="F8" s="31">
        <v>25.070181183092213</v>
      </c>
    </row>
    <row r="9" spans="1:6" x14ac:dyDescent="0.25">
      <c r="A9" s="30">
        <v>0.077856</v>
      </c>
      <c r="B9" s="31">
        <v>19.071404232735834</v>
      </c>
      <c r="C9" s="31">
        <v>19.204024383173195</v>
      </c>
      <c r="D9" s="31">
        <v>19.336644533610546</v>
      </c>
      <c r="E9" s="31">
        <v>19.469264684047904</v>
      </c>
      <c r="F9" s="31">
        <v>19.601884834485265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3508303000</v>
      </c>
      <c r="C5" s="18">
        <v>2478644000</v>
      </c>
      <c r="D5" s="18">
        <v>2564193000</v>
      </c>
      <c r="E5" s="18">
        <v>2182712000</v>
      </c>
      <c r="F5" s="8" t="s">
        <v>84</v>
      </c>
    </row>
    <row r="6" spans="1:6" x14ac:dyDescent="0.25">
      <c r="A6" t="s">
        <v>44</v>
      </c>
      <c r="B6" s="18">
        <v>1231958000</v>
      </c>
      <c r="C6" s="18">
        <v>806344000</v>
      </c>
      <c r="D6" s="18">
        <v>743259000</v>
      </c>
      <c r="E6" s="18">
        <v>616701000</v>
      </c>
      <c r="F6" s="8" t="s">
        <v>85</v>
      </c>
    </row>
    <row r="7" spans="1:6" x14ac:dyDescent="0.25">
      <c r="A7" t="s">
        <v>86</v>
      </c>
      <c r="B7" s="18">
        <v>712344000</v>
      </c>
      <c r="C7" s="18">
        <v>549120000</v>
      </c>
      <c r="D7" s="18">
        <v>544327000</v>
      </c>
      <c r="E7" s="18">
        <v>478291000</v>
      </c>
      <c r="F7" s="8" t="s">
        <v>87</v>
      </c>
    </row>
    <row r="8" spans="1:6" x14ac:dyDescent="0.25">
      <c r="A8" t="s">
        <v>88</v>
      </c>
      <c r="B8" s="18">
        <v>1087301000</v>
      </c>
      <c r="C8" s="18">
        <v>892668000</v>
      </c>
      <c r="D8" s="18">
        <v>861902000</v>
      </c>
      <c r="E8" s="18">
        <v>777230000</v>
      </c>
      <c r="F8" s="8" t="s">
        <v>89</v>
      </c>
    </row>
    <row r="9" spans="1:6" x14ac:dyDescent="0.25">
      <c r="A9" t="s">
        <v>90</v>
      </c>
      <c r="B9" s="18">
        <v>-125019000</v>
      </c>
      <c r="C9" s="18">
        <v>129220000</v>
      </c>
      <c r="D9" s="18">
        <v>485031000</v>
      </c>
      <c r="E9" s="18">
        <v>336750000</v>
      </c>
      <c r="F9" s="8" t="s">
        <v>91</v>
      </c>
    </row>
    <row r="10" spans="1:6" x14ac:dyDescent="0.25">
      <c r="A10" t="s">
        <v>92</v>
      </c>
      <c r="B10" s="18">
        <v>11415642000</v>
      </c>
      <c r="C10" s="18">
        <v>7185868000</v>
      </c>
      <c r="D10" s="18">
        <v>6920356000</v>
      </c>
      <c r="E10" s="18">
        <v>6545350000</v>
      </c>
      <c r="F10" s="8" t="s">
        <v>93</v>
      </c>
    </row>
    <row r="11" spans="1:6" x14ac:dyDescent="0.25">
      <c r="A11" t="s">
        <v>94</v>
      </c>
      <c r="B11" s="18">
        <v>491382000</v>
      </c>
      <c r="C11" s="18">
        <v>362854000</v>
      </c>
      <c r="D11" s="18">
        <v>254211000</v>
      </c>
      <c r="E11" s="18">
        <v>457716000</v>
      </c>
      <c r="F11" s="8" t="s">
        <v>95</v>
      </c>
    </row>
    <row r="12" spans="1:6" x14ac:dyDescent="0.25">
      <c r="A12" t="s">
        <v>32</v>
      </c>
      <c r="B12" s="34">
        <v>1015686402</v>
      </c>
      <c r="C12" s="34">
        <v>863913553</v>
      </c>
      <c r="D12" s="34">
        <v>863384189</v>
      </c>
      <c r="E12" s="34">
        <v>862852256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