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<sst xmlns="http://schemas.openxmlformats.org/spreadsheetml/2006/main" count="116" uniqueCount="104">
  <si>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IGO Limited (IGO.AX)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</si>
  <si>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</si>
  <si>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</si>
  <si>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</si>
  <si>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</si>
  <si>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</si>
  <si>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</si>
  <si>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</si>
  <si>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</si>
  <si>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</si>
  <si>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</si>
  <si>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</si>
  <si>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</si>
  <si>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</si>
  <si>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</si>
  <si>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</si>
  <si>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</si>
  <si>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</si>
  <si>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</si>
  <si>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</si>
  <si>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</si>
  <si>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</si>
  <si>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30.7%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</si>
  <si>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</si>
  <si>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</si>
  <si>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</si>
  <si>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</si>
  <si>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</si>
  <si>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</si>
  <si>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</si>
  <si>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</si>
  <si>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</si>
  <si>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</si>
  <si>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</si>
  <si>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</si>
  <si>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</si>
  <si>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</si>
  <si>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</si>
  <si>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</si>
  <si>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</si>
  <si>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</si>
  <si>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</si>
  <si>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</si>
  <si>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</si>
  <si>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</si>
  <si>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</si>
  <si>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</si>
  <si>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</si>
  <si>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</si>
  <si>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</si>
  <si>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</si>
  <si>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</si>
  <si>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</si>
  <si>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</si>
  <si>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</si>
  <si>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</si>
  <si>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</si>
  <si>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</si>
  <si>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</si>
  <si>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</si>
  <si>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</si>
  <si>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</si>
  <si>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</si>
  <si>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</si>
  <si>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</si>
  <si>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</si>
  <si>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</si>
  <si>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</si>
  <si>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</si>
  <si>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</si>
  <si>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</si>
  <si>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</si>
  <si>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</si>
  <si>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</si>
  <si>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</si>
  <si>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</si>
  <si>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</si>
  <si>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</si>
  <si>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</si>
  <si>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</si>
  <si>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</si>
  <si>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</si>
  <si>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</si>
  <si>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</si>
  <si>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</si>
  <si>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</si>
  <si>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</si>
  <si>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</si>
  <si>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</si>
  <si>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</si>
  <si>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</si>
  <si>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</si>
  <si>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</si>
  <si>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</si>
  <si>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</si>
  <si>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</si>
  <si>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</si>
  <si>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</si>
  <si>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Wrong tool: This model values the shares at 1.7%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</si>
  <si>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</si>
  <si>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Reported capital expenditure averages 14.70% of revenue against depreciation and amortisation of 35.00%. A business cannot depreciate more than it invests indefinitely. Capex has been set to 35.00%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</si>
  <si>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</si>
  <si>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Current EV/EBITDA of 76.7x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</si>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</sst>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-0.24664347081996918</v>
      </c>
    </row>
    <row r="7" spans="1:2" x14ac:dyDescent="0.25">
      <c r="A7" t="s">
        <v>5</v>
      </c>
      <c r="B7" s="6">
        <v>-0.5527322742181765</v>
      </c>
    </row>
    <row r="8" spans="1:2" x14ac:dyDescent="0.25">
      <c r="A8" t="s">
        <v>6</v>
      </c>
      <c r="B8" s="6">
        <v>0.1928560929001911</v>
      </c>
    </row>
    <row r="9" spans="1:2" x14ac:dyDescent="0.25">
      <c r="A9" t="s">
        <v>7</v>
      </c>
      <c r="B9" s="6">
        <v>0.35000190360366673</v>
      </c>
    </row>
    <row r="10" spans="1:2" x14ac:dyDescent="0.25">
      <c r="A10" t="s">
        <v>8</v>
      </c>
      <c r="B10" s="6">
        <v>0.35000190360366673</v>
      </c>
    </row>
    <row r="11" spans="1:2" x14ac:dyDescent="0.25">
      <c r="A11" t="s">
        <v>9</v>
      </c>
      <c r="B11" s="6">
        <v>0.03862246540070808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0.0980389126164771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0.74473</v>
      </c>
      <c r="C19" s="8" t="s">
        <v>19</v>
      </c>
    </row>
    <row r="20" spans="1:2" x14ac:dyDescent="0.25">
      <c r="A20" t="s">
        <v>20</v>
      </c>
      <c r="B20" s="10">
        <f>B17+B19*B18</f>
        <v>0.0981638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5210002944</v>
      </c>
    </row>
    <row r="23" spans="1:2" x14ac:dyDescent="0.25">
      <c r="A23" t="s">
        <v>24</v>
      </c>
      <c r="B23" s="11">
        <v>16800000</v>
      </c>
    </row>
    <row r="24" spans="1:2" x14ac:dyDescent="0.25">
      <c r="A24" t="s">
        <v>25</v>
      </c>
      <c r="B24" s="10">
        <f>B22/(B22+B23)</f>
        <v>0.9967857980911093</v>
      </c>
    </row>
    <row r="25" spans="1:2" x14ac:dyDescent="0.25">
      <c r="A25" t="s">
        <v>26</v>
      </c>
      <c r="B25" s="10">
        <f>1-B24</f>
        <v>0.003214201908890657</v>
      </c>
    </row>
    <row r="26" spans="1:2" x14ac:dyDescent="0.25">
      <c r="A26" t="s">
        <v>27</v>
      </c>
      <c r="B26" s="12">
        <f>B24*B20+B25*B21*(1-B8)</f>
        <v>0.0980389126164771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448900000</v>
      </c>
      <c r="C29" s="8" t="s">
        <v>30</v>
      </c>
    </row>
    <row r="30" spans="1:2" x14ac:dyDescent="0.25">
      <c r="A30" t="s">
        <v>31</v>
      </c>
      <c r="B30" s="11">
        <v>-468800000</v>
      </c>
    </row>
    <row r="31" spans="1:2" x14ac:dyDescent="0.25">
      <c r="A31" t="s">
        <v>32</v>
      </c>
      <c r="B31" s="13">
        <v>757267813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-0.24664347081996918</v>
      </c>
      <c r="C5" s="10">
        <f>Assumptions!B6</f>
        <v>-0.24664347081996918</v>
      </c>
      <c r="D5" s="10">
        <f>Assumptions!B6</f>
        <v>-0.24664347081996918</v>
      </c>
      <c r="E5" s="10">
        <f>Assumptions!B6</f>
        <v>-0.24664347081996918</v>
      </c>
      <c r="F5" s="10">
        <f>Assumptions!B6</f>
        <v>-0.24664347081996918</v>
      </c>
    </row>
    <row r="6" spans="1:6" x14ac:dyDescent="0.25">
      <c r="A6" t="s">
        <v>43</v>
      </c>
      <c r="B6" s="18">
        <f>Assumptions!B29*(1+B5)</f>
        <v>338181745.94891584</v>
      </c>
      <c r="C6" s="18">
        <f>B6*(1+C5)</f>
        <v>254771426.36011818</v>
      </c>
      <c r="D6" s="18">
        <f>C6*(1+D5)</f>
        <v>191933717.49690443</v>
      </c>
      <c r="E6" s="18">
        <f>D6*(1+E5)</f>
        <v>144594519.24608847</v>
      </c>
      <c r="F6" s="18">
        <f>E6*(1+F5)</f>
        <v>108931225.15768838</v>
      </c>
    </row>
    <row r="7" spans="1:6" x14ac:dyDescent="0.25">
      <c r="A7" t="s">
        <v>5</v>
      </c>
      <c r="B7" s="10">
        <f>Assumptions!B7</f>
        <v>-0.5527322742181765</v>
      </c>
      <c r="C7" s="10">
        <f>Assumptions!B7</f>
        <v>-0.5527322742181765</v>
      </c>
      <c r="D7" s="10">
        <f>Assumptions!B7</f>
        <v>-0.5527322742181765</v>
      </c>
      <c r="E7" s="10">
        <f>Assumptions!B7</f>
        <v>-0.5527322742181765</v>
      </c>
      <c r="F7" s="10">
        <f>Assumptions!B7</f>
        <v>-0.5527322742181765</v>
      </c>
    </row>
    <row r="8" spans="1:6" x14ac:dyDescent="0.25">
      <c r="A8" t="s">
        <v>44</v>
      </c>
      <c r="B8" s="18">
        <f>B6*B7</f>
        <v>-186923965.53741786</v>
      </c>
      <c r="C8" s="18">
        <f>C6*C7</f>
        <v>-140820389.8978368</v>
      </c>
      <c r="D8" s="18">
        <f>D6*D7</f>
        <v>-106087960.171213</v>
      </c>
      <c r="E8" s="18">
        <f>E6*E7</f>
        <v>-79922057.46237437</v>
      </c>
      <c r="F8" s="18">
        <f>F6*F7</f>
        <v>-60209803.81478134</v>
      </c>
    </row>
    <row r="9" spans="1:6" x14ac:dyDescent="0.25">
      <c r="A9" t="s">
        <v>45</v>
      </c>
      <c r="B9" s="18">
        <f>B8*(1-Assumptions!B8)</f>
        <v>-150874539.87446147</v>
      </c>
      <c r="C9" s="18">
        <f>C8*(1-Assumptions!B8)</f>
        <v>-113662319.70145845</v>
      </c>
      <c r="D9" s="18">
        <f>D8*(1-Assumptions!B8)</f>
        <v>-85628250.66884176</v>
      </c>
      <c r="E9" s="18">
        <f>E8*(1-Assumptions!B8)</f>
        <v>-64508601.72363629</v>
      </c>
      <c r="F9" s="18">
        <f>F8*(1-Assumptions!B8)</f>
        <v>-48597976.29677559</v>
      </c>
    </row>
    <row r="10" spans="1:6" x14ac:dyDescent="0.25">
      <c r="A10" t="s">
        <v>46</v>
      </c>
      <c r="B10" s="18">
        <f>B6*Assumptions!B9</f>
        <v>118364254.84613216</v>
      </c>
      <c r="C10" s="18">
        <f>C6*Assumptions!B9</f>
        <v>89170484.20986275</v>
      </c>
      <c r="D10" s="18">
        <f>D6*Assumptions!B9</f>
        <v>67177166.48964494</v>
      </c>
      <c r="E10" s="18">
        <f>E6*Assumptions!B9</f>
        <v>50608356.98678799</v>
      </c>
      <c r="F10" s="18">
        <f>F6*Assumptions!B9</f>
        <v>38126136.16707057</v>
      </c>
    </row>
    <row r="11" spans="1:6" x14ac:dyDescent="0.25">
      <c r="A11" t="s">
        <v>47</v>
      </c>
      <c r="B11" s="18">
        <f>-B6*Assumptions!B10</f>
        <v>-118364254.84613216</v>
      </c>
      <c r="C11" s="18">
        <f>-C6*Assumptions!B10</f>
        <v>-89170484.20986275</v>
      </c>
      <c r="D11" s="18">
        <f>-D6*Assumptions!B10</f>
        <v>-67177166.48964494</v>
      </c>
      <c r="E11" s="18">
        <f>-E6*Assumptions!B10</f>
        <v>-50608356.98678799</v>
      </c>
      <c r="F11" s="18">
        <f>-F6*Assumptions!B10</f>
        <v>-38126136.16707057</v>
      </c>
    </row>
    <row r="12" spans="1:6" x14ac:dyDescent="0.25">
      <c r="A12" t="s">
        <v>48</v>
      </c>
      <c r="B12" s="18">
        <f>-(B6-Assumptions!B29)*Assumptions!B11</f>
        <v>4276211.936314805</v>
      </c>
      <c r="C12" s="18">
        <f>-(C6-B6)*Assumptions!B11</f>
        <v>3221512.182380341</v>
      </c>
      <c r="D12" s="18">
        <f>-(D6-C6)*Assumptions!B11</f>
        <v>2426947.2364292406</v>
      </c>
      <c r="E12" s="18">
        <f>-(E6-D6)*Assumptions!B11</f>
        <v>1828356.5465393998</v>
      </c>
      <c r="F12" s="18">
        <f>-(F6-E6)*Assumptions!B11</f>
        <v>1377404.3420045096</v>
      </c>
    </row>
    <row r="13" spans="1:6" x14ac:dyDescent="0.25">
      <c r="A13" s="19" t="s">
        <v>49</v>
      </c>
      <c r="B13" s="20">
        <f>B9+B10+B11+B12</f>
        <v>-146598327.93814668</v>
      </c>
      <c r="C13" s="20">
        <f>C9+C10+C11+C12</f>
        <v>-110440807.5190781</v>
      </c>
      <c r="D13" s="20">
        <f>D9+D10+D11+D12</f>
        <v>-83201303.43241252</v>
      </c>
      <c r="E13" s="20">
        <f>E9+E10+E11+E12</f>
        <v>-62680245.17709689</v>
      </c>
      <c r="F13" s="20">
        <f>F9+F10+F11+F12</f>
        <v>-47220571.95477108</v>
      </c>
    </row>
    <row r="14" spans="1:6" x14ac:dyDescent="0.25">
      <c r="A14" t="s">
        <v>50</v>
      </c>
      <c r="B14" s="21">
        <f>1/(1+Assumptions!$B$26)^(1-0.5*Assumptions!$B$32)</f>
        <v>0.9543136471205887</v>
      </c>
      <c r="C14" s="21">
        <f>1/(1+Assumptions!$B$26)^(2-0.5*Assumptions!$B$32)</f>
        <v>0.8691073113671257</v>
      </c>
      <c r="D14" s="21">
        <f>1/(1+Assumptions!$B$26)^(3-0.5*Assumptions!$B$32)</f>
        <v>0.7915086627450765</v>
      </c>
      <c r="E14" s="21">
        <f>1/(1+Assumptions!$B$26)^(4-0.5*Assumptions!$B$32)</f>
        <v>0.7208384453871669</v>
      </c>
      <c r="F14" s="21">
        <f>1/(1+Assumptions!$B$26)^(5-0.5*Assumptions!$B$32)</f>
        <v>0.6564780511006728</v>
      </c>
    </row>
    <row r="15" spans="1:6" x14ac:dyDescent="0.25">
      <c r="A15" s="19" t="s">
        <v>51</v>
      </c>
      <c r="B15" s="20">
        <f>B13*B14</f>
        <v>-139900784.99643287</v>
      </c>
      <c r="C15" s="20">
        <f>C13*C14</f>
        <v>-95984913.28812021</v>
      </c>
      <c r="D15" s="20">
        <f>D13*D14</f>
        <v>-65854552.41843618</v>
      </c>
      <c r="E15" s="20">
        <f>E13*E14</f>
        <v>-45182330.48994499</v>
      </c>
      <c r="F15" s="20">
        <f>F13*F14</f>
        <v>-30999269.048727207</v>
      </c>
    </row>
    <row r="17" spans="1:2" x14ac:dyDescent="0.25">
      <c r="A17" s="22" t="s">
        <v>52</v>
      </c>
      <c r="B17" s="23">
        <f>SUM(B15:F15)</f>
        <v>-377921850.2416615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-47220571.95477108</v>
      </c>
    </row>
    <row r="5" spans="1:2" x14ac:dyDescent="0.25">
      <c r="A5" t="s">
        <v>56</v>
      </c>
      <c r="B5" s="18">
        <f>IF(Assumptions!$B$33=0,B4,B4-Forecast!F11-Forecast!F10-Forecast!F12)</f>
        <v>-48597976.29677559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0.2550007882869799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-377921850.2416615</v>
      </c>
    </row>
    <row r="12" spans="1:2" x14ac:dyDescent="0.25">
      <c r="A12" t="s">
        <v>63</v>
      </c>
      <c r="B12" s="18">
        <f>-Assumptions!B30</f>
        <v>468800000</v>
      </c>
    </row>
    <row r="13" spans="1:2" x14ac:dyDescent="0.25">
      <c r="A13" t="s">
        <v>64</v>
      </c>
      <c r="B13" s="18">
        <f>B11+B12</f>
        <v>90878149.75833851</v>
      </c>
    </row>
    <row r="14" spans="1:2" x14ac:dyDescent="0.25">
      <c r="A14" s="19" t="s">
        <v>65</v>
      </c>
      <c r="B14" s="24">
        <f>B13/Assumptions!B31</f>
        <v>0.12000793932903961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-22083667.64771077</v>
      </c>
    </row>
    <row r="18" spans="1:2" x14ac:dyDescent="0.25">
      <c r="A18" t="s">
        <v>60</v>
      </c>
      <c r="B18" s="18">
        <f>B17*Assumptions!B13</f>
        <v>-441673352.9542154</v>
      </c>
    </row>
    <row r="19" spans="1:2" x14ac:dyDescent="0.25">
      <c r="A19" t="s">
        <v>61</v>
      </c>
      <c r="B19" s="18">
        <f>B18/(1+Assumptions!B26)^(5-0.5*Assumptions!B32)</f>
        <v>-289948861.97048295</v>
      </c>
    </row>
    <row r="20" spans="1:2" x14ac:dyDescent="0.25">
      <c r="A20" t="s">
        <v>62</v>
      </c>
      <c r="B20" s="18">
        <f>Forecast!B17+B19</f>
        <v>-667870712.2121444</v>
      </c>
    </row>
    <row r="21" spans="1:2" x14ac:dyDescent="0.25">
      <c r="A21" t="s">
        <v>63</v>
      </c>
      <c r="B21" s="18">
        <f>-Assumptions!B30</f>
        <v>468800000</v>
      </c>
    </row>
    <row r="22" spans="1:2" x14ac:dyDescent="0.25">
      <c r="A22" t="s">
        <v>64</v>
      </c>
      <c r="B22" s="18">
        <f>B20+B21</f>
        <v>-199070712.21214437</v>
      </c>
    </row>
    <row r="23" spans="1:2" x14ac:dyDescent="0.25">
      <c r="A23" s="19" t="s">
        <v>65</v>
      </c>
      <c r="B23" s="25">
        <f>B22/Assumptions!B31</f>
        <v>-0.262880197460795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6.88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0.12000793932903961</v>
      </c>
    </row>
    <row r="29" spans="1:2" x14ac:dyDescent="0.25">
      <c r="A29" s="19" t="s">
        <v>73</v>
      </c>
      <c r="B29" s="12">
        <f>B28/B26-1</f>
        <v>-0.9825569855626396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0.078039</v>
      </c>
      <c r="B5" s="31">
        <v>0.10317381417533675</v>
      </c>
      <c r="C5" s="31">
        <v>0.10317381417533675</v>
      </c>
      <c r="D5" s="31">
        <v>0.10317381417533675</v>
      </c>
      <c r="E5" s="31">
        <v>0.10317381417533675</v>
      </c>
      <c r="F5" s="31">
        <v>0.10317381417533675</v>
      </c>
    </row>
    <row r="6" spans="1:6" x14ac:dyDescent="0.25">
      <c r="A6" s="30">
        <v>0.088039</v>
      </c>
      <c r="B6" s="31">
        <v>0.11173563159016564</v>
      </c>
      <c r="C6" s="31">
        <v>0.11173563159016564</v>
      </c>
      <c r="D6" s="31">
        <v>0.11173563159016564</v>
      </c>
      <c r="E6" s="31">
        <v>0.11173563159016564</v>
      </c>
      <c r="F6" s="31">
        <v>0.11173563159016564</v>
      </c>
    </row>
    <row r="7" spans="1:6" x14ac:dyDescent="0.25">
      <c r="A7" s="30">
        <v>0.098039</v>
      </c>
      <c r="B7" s="31">
        <v>0.12000801039093517</v>
      </c>
      <c r="C7" s="31">
        <v>0.12000801039093517</v>
      </c>
      <c r="D7" s="32">
        <v>0.12000801039093517</v>
      </c>
      <c r="E7" s="31">
        <v>0.12000801039093517</v>
      </c>
      <c r="F7" s="31">
        <v>0.12000801039093517</v>
      </c>
    </row>
    <row r="8" spans="1:6" x14ac:dyDescent="0.25">
      <c r="A8" s="30">
        <v>0.108039</v>
      </c>
      <c r="B8" s="31">
        <v>0.12800432728888933</v>
      </c>
      <c r="C8" s="31">
        <v>0.12800432728888933</v>
      </c>
      <c r="D8" s="31">
        <v>0.12800432728888933</v>
      </c>
      <c r="E8" s="31">
        <v>0.12800432728888933</v>
      </c>
      <c r="F8" s="31">
        <v>0.12800432728888933</v>
      </c>
    </row>
    <row r="9" spans="1:6" x14ac:dyDescent="0.25">
      <c r="A9" s="30">
        <v>0.118039</v>
      </c>
      <c r="B9" s="31">
        <v>0.13573719803554063</v>
      </c>
      <c r="C9" s="31">
        <v>0.13573719803554063</v>
      </c>
      <c r="D9" s="31">
        <v>0.13573719803554063</v>
      </c>
      <c r="E9" s="31">
        <v>0.13573719803554063</v>
      </c>
      <c r="F9" s="31">
        <v>0.13573719803554063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448900000</v>
      </c>
      <c r="C5" s="18">
        <v>512500000</v>
      </c>
      <c r="D5" s="18">
        <v>823200000</v>
      </c>
      <c r="E5" s="18">
        <v>1049900000</v>
      </c>
      <c r="F5" s="8" t="s">
        <v>84</v>
      </c>
    </row>
    <row r="6" spans="1:6" x14ac:dyDescent="0.25">
      <c r="A6" t="s">
        <v>44</v>
      </c>
      <c r="B6" s="18">
        <v>-124700000</v>
      </c>
      <c r="C6" s="18">
        <v>-390800000</v>
      </c>
      <c r="D6" s="18">
        <v>-419100000</v>
      </c>
      <c r="E6" s="18">
        <v>-694500000</v>
      </c>
      <c r="F6" s="8" t="s">
        <v>85</v>
      </c>
    </row>
    <row r="7" spans="1:6" x14ac:dyDescent="0.25">
      <c r="A7" t="s">
        <v>86</v>
      </c>
      <c r="B7" s="18">
        <v>186500000</v>
      </c>
      <c r="C7" s="18">
        <v>226100000</v>
      </c>
      <c r="D7" s="18">
        <v>222200000</v>
      </c>
      <c r="E7" s="18">
        <v>287100000</v>
      </c>
      <c r="F7" s="8" t="s">
        <v>87</v>
      </c>
    </row>
    <row r="8" spans="1:6" x14ac:dyDescent="0.25">
      <c r="A8" t="s">
        <v>88</v>
      </c>
      <c r="B8" s="18">
        <v>6100000</v>
      </c>
      <c r="C8" s="18">
        <v>5300000</v>
      </c>
      <c r="D8" s="18">
        <v>198900000</v>
      </c>
      <c r="E8" s="18">
        <v>338400000</v>
      </c>
      <c r="F8" s="8" t="s">
        <v>89</v>
      </c>
    </row>
    <row r="9" spans="1:6" x14ac:dyDescent="0.25">
      <c r="A9" t="s">
        <v>90</v>
      </c>
      <c r="B9" s="18">
        <v>-33200000</v>
      </c>
      <c r="C9" s="18">
        <v>-12000000</v>
      </c>
      <c r="D9" s="18">
        <v>42900000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16800000</v>
      </c>
      <c r="C10" s="18">
        <v>31400000</v>
      </c>
      <c r="D10" s="18">
        <v>48700000</v>
      </c>
      <c r="E10" s="18">
        <v>432100000</v>
      </c>
      <c r="F10" s="8" t="s">
        <v>93</v>
      </c>
    </row>
    <row r="11" spans="1:6" x14ac:dyDescent="0.25">
      <c r="A11" t="s">
        <v>94</v>
      </c>
      <c r="B11" s="18">
        <v>485600000</v>
      </c>
      <c r="C11" s="18">
        <v>343500000</v>
      </c>
      <c r="D11" s="18">
        <v>530400000</v>
      </c>
      <c r="E11" s="18">
        <v>837600000</v>
      </c>
      <c r="F11" s="8" t="s">
        <v>95</v>
      </c>
    </row>
    <row r="12" spans="1:6" x14ac:dyDescent="0.25">
      <c r="A12" t="s">
        <v>32</v>
      </c>
      <c r="B12" s="34">
        <v>757267813</v>
      </c>
      <c r="C12" s="34">
        <v>757267813</v>
      </c>
      <c r="D12" s="34">
        <v>757267813</v>
      </c>
      <c r="E12" s="34">
        <v>759789678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