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<sst xmlns="http://schemas.openxmlformats.org/spreadsheetml/2006/main" count="112" uniqueCount="100">
  <si>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InterContinental Hotels Group PLC (IHG.L)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</si>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</sst>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0.1006188494520397</v>
      </c>
    </row>
    <row r="7" spans="1:2" x14ac:dyDescent="0.25">
      <c r="A7" t="s">
        <v>5</v>
      </c>
      <c r="B7" s="6">
        <v>0.21143435944073988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0.03239945484431429</v>
      </c>
    </row>
    <row r="10" spans="1:2" x14ac:dyDescent="0.25">
      <c r="A10" t="s">
        <v>8</v>
      </c>
      <c r="B10" s="6">
        <v>0.018463359418399217</v>
      </c>
    </row>
    <row r="11" spans="1:2" x14ac:dyDescent="0.25">
      <c r="A11" t="s">
        <v>9</v>
      </c>
      <c r="B11" s="6">
        <v>-0.13533834586466165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18.901808999265246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1.01675</v>
      </c>
      <c r="C19" s="8" t="s">
        <v>19</v>
      </c>
    </row>
    <row r="20" spans="1:2" x14ac:dyDescent="0.25">
      <c r="A20" t="s">
        <v>20</v>
      </c>
      <c r="B20" s="10">
        <f>B17+B19*B18</f>
        <v>0.10092125</v>
      </c>
    </row>
    <row r="21" spans="1:3" x14ac:dyDescent="0.25">
      <c r="A21" t="s">
        <v>21</v>
      </c>
      <c r="B21" s="6">
        <v>0.04701627486437613</v>
      </c>
      <c r="C21" s="8" t="s">
        <v>22</v>
      </c>
    </row>
    <row r="22" spans="1:2" x14ac:dyDescent="0.25">
      <c r="A22" t="s">
        <v>23</v>
      </c>
      <c r="B22" s="11">
        <v>22223362048</v>
      </c>
    </row>
    <row r="23" spans="1:2" x14ac:dyDescent="0.25">
      <c r="A23" t="s">
        <v>24</v>
      </c>
      <c r="B23" s="11">
        <v>4607000000</v>
      </c>
    </row>
    <row r="24" spans="1:2" x14ac:dyDescent="0.25">
      <c r="A24" t="s">
        <v>25</v>
      </c>
      <c r="B24" s="10">
        <f>B22/(B22+B23)</f>
        <v>0.8282915455349431</v>
      </c>
    </row>
    <row r="25" spans="1:2" x14ac:dyDescent="0.25">
      <c r="A25" t="s">
        <v>26</v>
      </c>
      <c r="B25" s="10">
        <f>1-B24</f>
        <v>0.1717084544650569</v>
      </c>
    </row>
    <row r="26" spans="1:2" x14ac:dyDescent="0.25">
      <c r="A26" t="s">
        <v>27</v>
      </c>
      <c r="B26" s="12">
        <f>B24*B20+B25*B21*(1-B8)</f>
        <v>0.08964703705856812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5189000000</v>
      </c>
      <c r="C29" s="8" t="s">
        <v>30</v>
      </c>
    </row>
    <row r="30" spans="1:2" x14ac:dyDescent="0.25">
      <c r="A30" t="s">
        <v>31</v>
      </c>
      <c r="B30" s="11">
        <v>3502000000</v>
      </c>
    </row>
    <row r="31" spans="1:2" x14ac:dyDescent="0.25">
      <c r="A31" t="s">
        <v>32</v>
      </c>
      <c r="B31" s="13">
        <v>155800000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0.1006188494520397</v>
      </c>
      <c r="C5" s="10">
        <f>Assumptions!B6</f>
        <v>0.1006188494520397</v>
      </c>
      <c r="D5" s="10">
        <f>Assumptions!B6</f>
        <v>0.1006188494520397</v>
      </c>
      <c r="E5" s="10">
        <f>Assumptions!B6</f>
        <v>0.1006188494520397</v>
      </c>
      <c r="F5" s="10">
        <f>Assumptions!B6</f>
        <v>0.1006188494520397</v>
      </c>
    </row>
    <row r="6" spans="1:6" x14ac:dyDescent="0.25">
      <c r="A6" t="s">
        <v>43</v>
      </c>
      <c r="B6" s="18">
        <f>Assumptions!B29*(1+B5)</f>
        <v>5711111209.806634</v>
      </c>
      <c r="C6" s="18">
        <f>B6*(1+C5)</f>
        <v>6285756648.830024</v>
      </c>
      <c r="D6" s="18">
        <f>C6*(1+D5)</f>
        <v>6918222250.770809</v>
      </c>
      <c r="E6" s="18">
        <f>D6*(1+E5)</f>
        <v>7614325813.896869</v>
      </c>
      <c r="F6" s="18">
        <f>E6*(1+F5)</f>
        <v>8380470516.644137</v>
      </c>
    </row>
    <row r="7" spans="1:6" x14ac:dyDescent="0.25">
      <c r="A7" t="s">
        <v>5</v>
      </c>
      <c r="B7" s="10">
        <f>Assumptions!B7</f>
        <v>0.21143435944073988</v>
      </c>
      <c r="C7" s="10">
        <f>Assumptions!B7</f>
        <v>0.21143435944073988</v>
      </c>
      <c r="D7" s="10">
        <f>Assumptions!B7</f>
        <v>0.21143435944073988</v>
      </c>
      <c r="E7" s="10">
        <f>Assumptions!B7</f>
        <v>0.21143435944073988</v>
      </c>
      <c r="F7" s="10">
        <f>Assumptions!B7</f>
        <v>0.21143435944073988</v>
      </c>
    </row>
    <row r="8" spans="1:6" x14ac:dyDescent="0.25">
      <c r="A8" t="s">
        <v>44</v>
      </c>
      <c r="B8" s="18">
        <f>B6*B7</f>
        <v>1207525140.3402946</v>
      </c>
      <c r="C8" s="18">
        <f>C6*C7</f>
        <v>1329024930.645748</v>
      </c>
      <c r="D8" s="18">
        <f>D6*D7</f>
        <v>1462749890.0603998</v>
      </c>
      <c r="E8" s="18">
        <f>E6*E7</f>
        <v>1609930101.0343747</v>
      </c>
      <c r="F8" s="18">
        <f>F6*F7</f>
        <v>1771919415.4986596</v>
      </c>
    </row>
    <row r="9" spans="1:6" x14ac:dyDescent="0.25">
      <c r="A9" t="s">
        <v>45</v>
      </c>
      <c r="B9" s="18">
        <f>B8*(1-Assumptions!B8)</f>
        <v>905643855.2552209</v>
      </c>
      <c r="C9" s="18">
        <f>C8*(1-Assumptions!B8)</f>
        <v>996768697.9843109</v>
      </c>
      <c r="D9" s="18">
        <f>D8*(1-Assumptions!B8)</f>
        <v>1097062417.5452998</v>
      </c>
      <c r="E9" s="18">
        <f>E8*(1-Assumptions!B8)</f>
        <v>1207447575.7757812</v>
      </c>
      <c r="F9" s="18">
        <f>F8*(1-Assumptions!B8)</f>
        <v>1328939561.6239948</v>
      </c>
    </row>
    <row r="10" spans="1:6" x14ac:dyDescent="0.25">
      <c r="A10" t="s">
        <v>46</v>
      </c>
      <c r="B10" s="18">
        <f>B6*Assumptions!B9</f>
        <v>185036889.7529872</v>
      </c>
      <c r="C10" s="18">
        <f>C6*Assumptions!B9</f>
        <v>203655088.70611668</v>
      </c>
      <c r="D10" s="18">
        <f>D6*Assumptions!B9</f>
        <v>224146629.41677922</v>
      </c>
      <c r="E10" s="18">
        <f>E6*Assumptions!B9</f>
        <v>246700005.3772483</v>
      </c>
      <c r="F10" s="18">
        <f>F6*Assumptions!B9</f>
        <v>271522676.078119</v>
      </c>
    </row>
    <row r="11" spans="1:6" x14ac:dyDescent="0.25">
      <c r="A11" t="s">
        <v>47</v>
      </c>
      <c r="B11" s="18">
        <f>-B6*Assumptions!B10</f>
        <v>-105446298.94510867</v>
      </c>
      <c r="C11" s="18">
        <f>-C6*Assumptions!B10</f>
        <v>-116056184.22394131</v>
      </c>
      <c r="D11" s="18">
        <f>-D6*Assumptions!B10</f>
        <v>-127733623.95234825</v>
      </c>
      <c r="E11" s="18">
        <f>-E6*Assumptions!B10</f>
        <v>-140586034.23077303</v>
      </c>
      <c r="F11" s="18">
        <f>-F6*Assumptions!B10</f>
        <v>-154731639.24409848</v>
      </c>
    </row>
    <row r="12" spans="1:6" x14ac:dyDescent="0.25">
      <c r="A12" t="s">
        <v>48</v>
      </c>
      <c r="B12" s="18">
        <f>-(B6-Assumptions!B29)*Assumptions!B11</f>
        <v>70661667.49262714</v>
      </c>
      <c r="C12" s="18">
        <f>-(C6-B6)*Assumptions!B11</f>
        <v>77771563.17609787</v>
      </c>
      <c r="D12" s="18">
        <f>-(D6-C6)*Assumptions!B11</f>
        <v>85596848.38296343</v>
      </c>
      <c r="E12" s="18">
        <f>-(E6-D6)*Assumptions!B11</f>
        <v>94209504.78397797</v>
      </c>
      <c r="F12" s="18">
        <f>-(F6-E6)*Assumptions!B11</f>
        <v>103688756.76278824</v>
      </c>
    </row>
    <row r="13" spans="1:6" x14ac:dyDescent="0.25">
      <c r="A13" s="19" t="s">
        <v>49</v>
      </c>
      <c r="B13" s="20">
        <f>B9+B10+B11+B12</f>
        <v>1055896113.5557265</v>
      </c>
      <c r="C13" s="20">
        <f>C9+C10+C11+C12</f>
        <v>1162139165.642584</v>
      </c>
      <c r="D13" s="20">
        <f>D9+D10+D11+D12</f>
        <v>1279072271.3926942</v>
      </c>
      <c r="E13" s="20">
        <f>E9+E10+E11+E12</f>
        <v>1407771051.7062345</v>
      </c>
      <c r="F13" s="20">
        <f>F9+F10+F11+F12</f>
        <v>1549419355.2208037</v>
      </c>
    </row>
    <row r="14" spans="1:6" x14ac:dyDescent="0.25">
      <c r="A14" t="s">
        <v>50</v>
      </c>
      <c r="B14" s="21">
        <f>1/(1+Assumptions!$B$26)^(1-0.5*Assumptions!$B$32)</f>
        <v>0.9579814041716517</v>
      </c>
      <c r="C14" s="21">
        <f>1/(1+Assumptions!$B$26)^(2-0.5*Assumptions!$B$32)</f>
        <v>0.8791667132484118</v>
      </c>
      <c r="D14" s="21">
        <f>1/(1+Assumptions!$B$26)^(3-0.5*Assumptions!$B$32)</f>
        <v>0.8068362353571535</v>
      </c>
      <c r="E14" s="21">
        <f>1/(1+Assumptions!$B$26)^(4-0.5*Assumptions!$B$32)</f>
        <v>0.7404565037272584</v>
      </c>
      <c r="F14" s="21">
        <f>1/(1+Assumptions!$B$26)^(5-0.5*Assumptions!$B$32)</f>
        <v>0.6795379407684831</v>
      </c>
    </row>
    <row r="15" spans="1:6" x14ac:dyDescent="0.25">
      <c r="A15" s="19" t="s">
        <v>51</v>
      </c>
      <c r="B15" s="20">
        <f>B13*B14</f>
        <v>1011528841.5235046</v>
      </c>
      <c r="C15" s="20">
        <f>C13*C14</f>
        <v>1021714070.5952423</v>
      </c>
      <c r="D15" s="20">
        <f>D13*D14</f>
        <v>1032001856.2002048</v>
      </c>
      <c r="E15" s="20">
        <f>E13*E14</f>
        <v>1042393230.9948438</v>
      </c>
      <c r="F15" s="20">
        <f>F13*F14</f>
        <v>1052889238.0335758</v>
      </c>
    </row>
    <row r="17" spans="1:2" x14ac:dyDescent="0.25">
      <c r="A17" s="22" t="s">
        <v>52</v>
      </c>
      <c r="B17" s="23">
        <f>SUM(B15:F15)</f>
        <v>5160527237.347371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1549419355.2208037</v>
      </c>
    </row>
    <row r="5" spans="1:2" x14ac:dyDescent="0.25">
      <c r="A5" t="s">
        <v>56</v>
      </c>
      <c r="B5" s="18">
        <f>IF(Assumptions!$B$33=0,B4,B4-Forecast!F11-Forecast!F10-Forecast!F12)</f>
        <v>1328939561.6239948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-55372481.73433312</v>
      </c>
    </row>
    <row r="8" spans="1:2" x14ac:dyDescent="0.25">
      <c r="A8" t="s">
        <v>59</v>
      </c>
      <c r="B8" s="18">
        <f>IF(OR(Assumptions!$B$33=0,Assumptions!B12&lt;=0),B5,MAX(B5+B7,0))</f>
        <v>1273567079.8896618</v>
      </c>
    </row>
    <row r="9" spans="1:2" x14ac:dyDescent="0.25">
      <c r="A9" t="s">
        <v>60</v>
      </c>
      <c r="B9" s="18">
        <f>B8*(1+Assumptions!B12)/(Assumptions!B26-Assumptions!B12)</f>
        <v>20192824238.862606</v>
      </c>
    </row>
    <row r="10" spans="1:2" x14ac:dyDescent="0.25">
      <c r="A10" t="s">
        <v>61</v>
      </c>
      <c r="B10" s="18">
        <f>B9/(1+Assumptions!B26)^(5-0.5*Assumptions!B32)</f>
        <v>13721790201.576607</v>
      </c>
    </row>
    <row r="11" spans="1:2" x14ac:dyDescent="0.25">
      <c r="A11" t="s">
        <v>62</v>
      </c>
      <c r="B11" s="18">
        <f>Forecast!B17+B10</f>
        <v>18882317438.923977</v>
      </c>
    </row>
    <row r="12" spans="1:2" x14ac:dyDescent="0.25">
      <c r="A12" t="s">
        <v>63</v>
      </c>
      <c r="B12" s="18">
        <f>-Assumptions!B30</f>
        <v>-3502000000</v>
      </c>
    </row>
    <row r="13" spans="1:2" x14ac:dyDescent="0.25">
      <c r="A13" t="s">
        <v>64</v>
      </c>
      <c r="B13" s="18">
        <f>B11+B12</f>
        <v>15380317438.923977</v>
      </c>
    </row>
    <row r="14" spans="1:2" x14ac:dyDescent="0.25">
      <c r="A14" s="19" t="s">
        <v>65</v>
      </c>
      <c r="B14" s="24">
        <f>B13/Assumptions!B31</f>
        <v>98.71834042955055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2043442091.5767787</v>
      </c>
    </row>
    <row r="18" spans="1:2" x14ac:dyDescent="0.25">
      <c r="A18" t="s">
        <v>60</v>
      </c>
      <c r="B18" s="18">
        <f>B17*Assumptions!B13</f>
        <v>38624752116.04335</v>
      </c>
    </row>
    <row r="19" spans="1:2" x14ac:dyDescent="0.25">
      <c r="A19" t="s">
        <v>61</v>
      </c>
      <c r="B19" s="18">
        <f>B18/(1+Assumptions!B26)^(5-0.5*Assumptions!B32)</f>
        <v>26246984515.629208</v>
      </c>
    </row>
    <row r="20" spans="1:2" x14ac:dyDescent="0.25">
      <c r="A20" t="s">
        <v>62</v>
      </c>
      <c r="B20" s="18">
        <f>Forecast!B17+B19</f>
        <v>31407511752.976578</v>
      </c>
    </row>
    <row r="21" spans="1:2" x14ac:dyDescent="0.25">
      <c r="A21" t="s">
        <v>63</v>
      </c>
      <c r="B21" s="18">
        <f>-Assumptions!B30</f>
        <v>-3502000000</v>
      </c>
    </row>
    <row r="22" spans="1:2" x14ac:dyDescent="0.25">
      <c r="A22" t="s">
        <v>64</v>
      </c>
      <c r="B22" s="18">
        <f>B20+B21</f>
        <v>27905511752.976578</v>
      </c>
    </row>
    <row r="23" spans="1:2" x14ac:dyDescent="0.25">
      <c r="A23" s="19" t="s">
        <v>65</v>
      </c>
      <c r="B23" s="25">
        <f>B22/Assumptions!B31</f>
        <v>179.11111523091515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151.85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98.71834042955055</v>
      </c>
    </row>
    <row r="29" spans="1:2" x14ac:dyDescent="0.25">
      <c r="A29" s="19" t="s">
        <v>73</v>
      </c>
      <c r="B29" s="12">
        <f>B28/B26-1</f>
        <v>-0.3498956837039805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0.069647</v>
      </c>
      <c r="B5" s="31">
        <v>126.33335946615084</v>
      </c>
      <c r="C5" s="31">
        <v>137.3637937308627</v>
      </c>
      <c r="D5" s="31">
        <v>150.85305668324742</v>
      </c>
      <c r="E5" s="31">
        <v>167.73141871741043</v>
      </c>
      <c r="F5" s="31">
        <v>189.46614932931595</v>
      </c>
    </row>
    <row r="6" spans="1:6" x14ac:dyDescent="0.25">
      <c r="A6" s="30">
        <v>0.079647</v>
      </c>
      <c r="B6" s="31">
        <v>103.91611265367236</v>
      </c>
      <c r="C6" s="31">
        <v>111.3019893004117</v>
      </c>
      <c r="D6" s="31">
        <v>120.03021372797929</v>
      </c>
      <c r="E6" s="31">
        <v>130.5063535781748</v>
      </c>
      <c r="F6" s="31">
        <v>143.3176539366573</v>
      </c>
    </row>
    <row r="7" spans="1:6" x14ac:dyDescent="0.25">
      <c r="A7" s="30">
        <v>0.089647</v>
      </c>
      <c r="B7" s="31">
        <v>87.4892158439226</v>
      </c>
      <c r="C7" s="31">
        <v>92.70420401015075</v>
      </c>
      <c r="D7" s="32">
        <v>98.71840723486581</v>
      </c>
      <c r="E7" s="31">
        <v>105.73281175169753</v>
      </c>
      <c r="F7" s="31">
        <v>114.02196180610757</v>
      </c>
    </row>
    <row r="8" spans="1:6" x14ac:dyDescent="0.25">
      <c r="A8" s="30">
        <v>0.099647</v>
      </c>
      <c r="B8" s="31">
        <v>74.93058968652103</v>
      </c>
      <c r="C8" s="31">
        <v>78.76020099074367</v>
      </c>
      <c r="D8" s="31">
        <v>83.09663161205224</v>
      </c>
      <c r="E8" s="31">
        <v>88.04903614082802</v>
      </c>
      <c r="F8" s="31">
        <v>93.76033858919861</v>
      </c>
    </row>
    <row r="9" spans="1:6" x14ac:dyDescent="0.25">
      <c r="A9" s="30">
        <v>0.109647</v>
      </c>
      <c r="B9" s="31">
        <v>65.01492838341572</v>
      </c>
      <c r="C9" s="31">
        <v>67.91357850070015</v>
      </c>
      <c r="D9" s="31">
        <v>71.14941050095251</v>
      </c>
      <c r="E9" s="31">
        <v>74.78592618894288</v>
      </c>
      <c r="F9" s="31">
        <v>78.90364126277117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5189000000</v>
      </c>
      <c r="C5" s="18">
        <v>4923000000</v>
      </c>
      <c r="D5" s="18">
        <v>4624000000</v>
      </c>
      <c r="E5" s="18">
        <v>3892000000</v>
      </c>
      <c r="F5" s="8" t="s">
        <v>84</v>
      </c>
    </row>
    <row r="6" spans="1:6" x14ac:dyDescent="0.25">
      <c r="A6" t="s">
        <v>44</v>
      </c>
      <c r="B6" s="18">
        <v>1215000000</v>
      </c>
      <c r="C6" s="18">
        <v>1041000000</v>
      </c>
      <c r="D6" s="18">
        <v>1034000000</v>
      </c>
      <c r="E6" s="18">
        <v>687000000</v>
      </c>
      <c r="F6" s="8" t="s">
        <v>85</v>
      </c>
    </row>
    <row r="7" spans="1:6" x14ac:dyDescent="0.25">
      <c r="A7" t="s">
        <v>86</v>
      </c>
      <c r="B7" s="18">
        <v>146000000</v>
      </c>
      <c r="C7" s="18">
        <v>145000000</v>
      </c>
      <c r="D7" s="18">
        <v>150000000</v>
      </c>
      <c r="E7" s="18">
        <v>154000000</v>
      </c>
      <c r="F7" s="8" t="s">
        <v>87</v>
      </c>
    </row>
    <row r="8" spans="1:6" x14ac:dyDescent="0.25">
      <c r="A8" t="s">
        <v>88</v>
      </c>
      <c r="B8" s="18">
        <v>77000000</v>
      </c>
      <c r="C8" s="18">
        <v>78000000</v>
      </c>
      <c r="D8" s="18">
        <v>82000000</v>
      </c>
      <c r="E8" s="18">
        <v>99000000</v>
      </c>
      <c r="F8" s="8" t="s">
        <v>89</v>
      </c>
    </row>
    <row r="9" spans="1:6" x14ac:dyDescent="0.25">
      <c r="A9" t="s">
        <v>90</v>
      </c>
      <c r="B9" s="18">
        <v>-36000000</v>
      </c>
      <c r="C9" s="18">
        <v>-56000000</v>
      </c>
      <c r="D9" s="18">
        <v>-79000000</v>
      </c>
      <c r="E9" s="18">
        <v>-101000000</v>
      </c>
      <c r="F9" s="8" t="s">
        <v>91</v>
      </c>
    </row>
    <row r="10" spans="1:6" x14ac:dyDescent="0.25">
      <c r="A10" t="s">
        <v>92</v>
      </c>
      <c r="B10" s="18">
        <v>4607000000</v>
      </c>
      <c r="C10" s="18">
        <v>3688000000</v>
      </c>
      <c r="D10" s="18">
        <v>3592000000</v>
      </c>
      <c r="E10" s="18">
        <v>2823000000</v>
      </c>
      <c r="F10" s="8" t="s">
        <v>93</v>
      </c>
    </row>
    <row r="11" spans="1:6" x14ac:dyDescent="0.25">
      <c r="A11" t="s">
        <v>94</v>
      </c>
      <c r="B11" s="18">
        <v>1105000000</v>
      </c>
      <c r="C11" s="18">
        <v>993000000</v>
      </c>
      <c r="D11" s="18">
        <v>1273000000</v>
      </c>
      <c r="E11" s="18">
        <v>929000000</v>
      </c>
      <c r="F11" s="8" t="s">
        <v>95</v>
      </c>
    </row>
    <row r="12" spans="1:6" x14ac:dyDescent="0.25">
      <c r="A12" t="s">
        <v>32</v>
      </c>
      <c r="B12" s="34">
        <v>155800000</v>
      </c>
      <c r="C12" s="34">
        <v>163000000</v>
      </c>
      <c r="D12" s="34">
        <v>170000000</v>
      </c>
      <c r="E12" s="34">
        <v>182000000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2026-09-19T00:08:17Z</dcterms:modified>
</cp:coreProperties>
</file>