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<sst xmlns="http://schemas.openxmlformats.org/spreadsheetml/2006/main" count="115" uniqueCount="101">
  <si>
    <t>3i Group Ord (III.L)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</si>
  <si>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</si>
  <si>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</si>
  <si>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</si>
  <si>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</si>
  <si>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</si>
  <si>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</si>
  <si>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</si>
  <si>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</si>
  <si>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</si>
  <si>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</si>
  <si>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</si>
  <si>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</si>
  <si>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</si>
  <si>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</si>
  <si>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</si>
  <si>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</si>
  <si>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</si>
  <si>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</si>
  <si>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</si>
  <si>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</si>
  <si>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</si>
  <si>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</si>
  <si>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</si>
  <si>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</si>
  <si>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</si>
  <si>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</si>
  <si>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</si>
  <si>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</si>
  <si>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</si>
  <si>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</si>
  <si>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</si>
  <si>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</si>
  <si>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</si>
  <si>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</si>
  <si>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</si>
  <si>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</si>
  <si>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</si>
  <si>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</si>
  <si>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</si>
  <si>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</si>
  <si>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</si>
  <si>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</si>
  <si>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</si>
  <si>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</si>
  <si>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</si>
  <si>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</si>
  <si>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</si>
  <si>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</si>
  <si>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</si>
  <si>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</si>
  <si>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</si>
  <si>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</si>
  <si>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</si>
  <si>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</si>
  <si>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</si>
  <si>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</si>
  <si>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</si>
  <si>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</si>
  <si>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</si>
  <si>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</si>
  <si>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</si>
  <si>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</si>
  <si>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</si>
  <si>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</si>
  <si>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</si>
  <si>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</si>
  <si>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</si>
  <si>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</si>
  <si>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</si>
  <si>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</si>
  <si>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</si>
  <si>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</si>
  <si>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</si>
  <si>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</si>
  <si>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</si>
  <si>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</si>
  <si>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</si>
  <si>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</si>
  <si>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</si>
  <si>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</si>
  <si>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</si>
  <si>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</si>
  <si>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</si>
  <si>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</si>
  <si>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</si>
  <si>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</si>
  <si>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</si>
  <si>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</si>
  <si>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</si>
  <si>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</si>
  <si>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</si>
  <si>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</si>
  <si>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</si>
  <si>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</si>
  <si>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</si>
  <si>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</si>
  <si>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0.11%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</si>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</sst>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0.04828213788689428</v>
      </c>
    </row>
    <row r="7" spans="1:2" x14ac:dyDescent="0.25">
      <c r="A7" t="s">
        <v>5</v>
      </c>
      <c r="B7" s="6">
        <v>0.9890645108286857</v>
      </c>
    </row>
    <row r="8" spans="1:2" x14ac:dyDescent="0.25">
      <c r="A8" t="s">
        <v>6</v>
      </c>
      <c r="B8" s="6">
        <v>0.0004371584699453552</v>
      </c>
    </row>
    <row r="9" spans="1:2" x14ac:dyDescent="0.25">
      <c r="A9" t="s">
        <v>7</v>
      </c>
      <c r="B9" s="6">
        <v>0.0013984902733590655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0.06593406593406594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5.182080429610293</v>
      </c>
    </row>
    <row r="14" spans="1:3" x14ac:dyDescent="0.25">
      <c r="A14" t="s">
        <v>12</v>
      </c>
      <c r="B14" s="6">
        <v>0.1914937091570873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</v>
      </c>
    </row>
    <row r="21" spans="1:3" x14ac:dyDescent="0.25">
      <c r="A21" t="s">
        <v>21</v>
      </c>
      <c r="B21" s="6">
        <v>0.056</v>
      </c>
      <c r="C21" s="8" t="s">
        <v>22</v>
      </c>
    </row>
    <row r="22" spans="1:2" x14ac:dyDescent="0.25">
      <c r="A22" t="s">
        <v>23</v>
      </c>
      <c r="B22" s="11">
        <v>27165497344</v>
      </c>
    </row>
    <row r="23" spans="1:2" x14ac:dyDescent="0.25">
      <c r="A23" t="s">
        <v>24</v>
      </c>
      <c r="B23" s="11">
        <v>1261000000</v>
      </c>
    </row>
    <row r="24" spans="1:2" x14ac:dyDescent="0.25">
      <c r="A24" t="s">
        <v>25</v>
      </c>
      <c r="B24" s="10">
        <f>B22/(B22+B23)</f>
        <v>0.9556399796731847</v>
      </c>
    </row>
    <row r="25" spans="1:2" x14ac:dyDescent="0.25">
      <c r="A25" t="s">
        <v>26</v>
      </c>
      <c r="B25" s="10">
        <f>1-B24</f>
        <v>0.0443600203268153</v>
      </c>
    </row>
    <row r="26" spans="1:2" x14ac:dyDescent="0.25">
      <c r="A26" t="s">
        <v>27</v>
      </c>
      <c r="B26" s="12">
        <f>B24*B20+B25*B21*(1-B8)</f>
        <v>0.09804707313353782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5428000000</v>
      </c>
      <c r="C29" s="8" t="s">
        <v>30</v>
      </c>
    </row>
    <row r="30" spans="1:2" x14ac:dyDescent="0.25">
      <c r="A30" t="s">
        <v>31</v>
      </c>
      <c r="B30" s="11">
        <v>626000000</v>
      </c>
    </row>
    <row r="31" spans="1:2" x14ac:dyDescent="0.25">
      <c r="A31" t="s">
        <v>32</v>
      </c>
      <c r="B31" s="13">
        <v>982927508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0.04828213788689428</v>
      </c>
      <c r="C5" s="10">
        <f>Assumptions!B6</f>
        <v>0.04828213788689428</v>
      </c>
      <c r="D5" s="10">
        <f>Assumptions!B6</f>
        <v>0.04828213788689428</v>
      </c>
      <c r="E5" s="10">
        <f>Assumptions!B6</f>
        <v>0.04828213788689428</v>
      </c>
      <c r="F5" s="10">
        <f>Assumptions!B6</f>
        <v>0.04828213788689428</v>
      </c>
    </row>
    <row r="6" spans="1:6" x14ac:dyDescent="0.25">
      <c r="A6" t="s">
        <v>43</v>
      </c>
      <c r="B6" s="18">
        <f>Assumptions!B29*(1+B5)</f>
        <v>5690075444.450062</v>
      </c>
      <c r="C6" s="18">
        <f>B6*(1+C5)</f>
        <v>5964804451.645831</v>
      </c>
      <c r="D6" s="18">
        <f>C6*(1+D5)</f>
        <v>6252797962.648556</v>
      </c>
      <c r="E6" s="18">
        <f>D6*(1+E5)</f>
        <v>6554696416.060045</v>
      </c>
      <c r="F6" s="18">
        <f>E6*(1+F5)</f>
        <v>6871171172.226988</v>
      </c>
    </row>
    <row r="7" spans="1:6" x14ac:dyDescent="0.25">
      <c r="A7" t="s">
        <v>5</v>
      </c>
      <c r="B7" s="10">
        <f>Assumptions!B7</f>
        <v>0.9890645108286857</v>
      </c>
      <c r="C7" s="10">
        <f>Assumptions!B7</f>
        <v>0.9890645108286857</v>
      </c>
      <c r="D7" s="10">
        <f>Assumptions!B7</f>
        <v>0.9890645108286857</v>
      </c>
      <c r="E7" s="10">
        <f>Assumptions!B7</f>
        <v>0.9890645108286857</v>
      </c>
      <c r="F7" s="10">
        <f>Assumptions!B7</f>
        <v>0.9890645108286857</v>
      </c>
    </row>
    <row r="8" spans="1:6" x14ac:dyDescent="0.25">
      <c r="A8" t="s">
        <v>44</v>
      </c>
      <c r="B8" s="18">
        <f>B6*B7</f>
        <v>5627851686.043317</v>
      </c>
      <c r="C8" s="18">
        <f>C6*C7</f>
        <v>5899576397.155851</v>
      </c>
      <c r="D8" s="18">
        <f>D6*D7</f>
        <v>6184420558.2375965</v>
      </c>
      <c r="E8" s="18">
        <f>E6*E7</f>
        <v>6483017604.380968</v>
      </c>
      <c r="F8" s="18">
        <f>F6*F7</f>
        <v>6796031554.278852</v>
      </c>
    </row>
    <row r="9" spans="1:6" x14ac:dyDescent="0.25">
      <c r="A9" t="s">
        <v>45</v>
      </c>
      <c r="B9" s="18">
        <f>B8*(1-Assumptions!B8)</f>
        <v>5625391423.011167</v>
      </c>
      <c r="C9" s="18">
        <f>C8*(1-Assumptions!B8)</f>
        <v>5896997347.364745</v>
      </c>
      <c r="D9" s="18">
        <f>D8*(1-Assumptions!B8)</f>
        <v>6181716986.408858</v>
      </c>
      <c r="E9" s="18">
        <f>E8*(1-Assumptions!B8)</f>
        <v>6480183498.324408</v>
      </c>
      <c r="F9" s="18">
        <f>F8*(1-Assumptions!B8)</f>
        <v>6793060611.522883</v>
      </c>
    </row>
    <row r="10" spans="1:6" x14ac:dyDescent="0.25">
      <c r="A10" t="s">
        <v>46</v>
      </c>
      <c r="B10" s="18">
        <f>B6*Assumptions!B9</f>
        <v>7957515.163742673</v>
      </c>
      <c r="C10" s="18">
        <f>C6*Assumptions!B9</f>
        <v>8341721.008115549</v>
      </c>
      <c r="D10" s="18">
        <f>D6*Assumptions!B9</f>
        <v>8744477.132043386</v>
      </c>
      <c r="E10" s="18">
        <f>E6*Assumptions!B9</f>
        <v>9166679.182681499</v>
      </c>
      <c r="F10" s="18">
        <f>F6*Assumptions!B9</f>
        <v>9609266.05094465</v>
      </c>
    </row>
    <row r="11" spans="1:6" x14ac:dyDescent="0.25">
      <c r="A11" t="s">
        <v>47</v>
      </c>
      <c r="B11" s="18">
        <f>-B6*Assumptions!B10</f>
        <v>-56900754.44450062</v>
      </c>
      <c r="C11" s="18">
        <f>-C6*Assumptions!B10</f>
        <v>-59648044.51645831</v>
      </c>
      <c r="D11" s="18">
        <f>-D6*Assumptions!B10</f>
        <v>-62527979.62648556</v>
      </c>
      <c r="E11" s="18">
        <f>-E6*Assumptions!B10</f>
        <v>-65546964.16060045</v>
      </c>
      <c r="F11" s="18">
        <f>-F6*Assumptions!B10</f>
        <v>-68711711.72226988</v>
      </c>
    </row>
    <row r="12" spans="1:6" x14ac:dyDescent="0.25">
      <c r="A12" t="s">
        <v>48</v>
      </c>
      <c r="B12" s="18">
        <f>-(B6-Assumptions!B29)*Assumptions!B11</f>
        <v>-17279699.63407001</v>
      </c>
      <c r="C12" s="18">
        <f>-(C6-B6)*Assumptions!B11</f>
        <v>-18114000.47444633</v>
      </c>
      <c r="D12" s="18">
        <f>-(D6-C6)*Assumptions!B11</f>
        <v>-18988583.14303679</v>
      </c>
      <c r="E12" s="18">
        <f>-(E6-D6)*Assumptions!B11</f>
        <v>-19905392.532625683</v>
      </c>
      <c r="F12" s="18">
        <f>-(F6-E6)*Assumptions!B11</f>
        <v>-20866467.439578634</v>
      </c>
    </row>
    <row r="13" spans="1:6" x14ac:dyDescent="0.25">
      <c r="A13" s="19" t="s">
        <v>49</v>
      </c>
      <c r="B13" s="20">
        <f>B9+B10+B11+B12</f>
        <v>5559168484.096338</v>
      </c>
      <c r="C13" s="20">
        <f>C9+C10+C11+C12</f>
        <v>5827577023.381956</v>
      </c>
      <c r="D13" s="20">
        <f>D9+D10+D11+D12</f>
        <v>6108944900.771379</v>
      </c>
      <c r="E13" s="20">
        <f>E9+E10+E11+E12</f>
        <v>6403897820.813862</v>
      </c>
      <c r="F13" s="20">
        <f>F9+F10+F11+F12</f>
        <v>6713091698.411979</v>
      </c>
    </row>
    <row r="14" spans="1:6" x14ac:dyDescent="0.25">
      <c r="A14" t="s">
        <v>50</v>
      </c>
      <c r="B14" s="21">
        <f>1/(1+Assumptions!$B$26)^(1-0.5*Assumptions!$B$32)</f>
        <v>0.9543101009578339</v>
      </c>
      <c r="C14" s="21">
        <f>1/(1+Assumptions!$B$26)^(2-0.5*Assumptions!$B$32)</f>
        <v>0.8690976227772125</v>
      </c>
      <c r="D14" s="21">
        <f>1/(1+Assumptions!$B$26)^(3-0.5*Assumptions!$B$32)</f>
        <v>0.7914939569002596</v>
      </c>
      <c r="E14" s="21">
        <f>1/(1+Assumptions!$B$26)^(4-0.5*Assumptions!$B$32)</f>
        <v>0.7208196954995233</v>
      </c>
      <c r="F14" s="21">
        <f>1/(1+Assumptions!$B$26)^(5-0.5*Assumptions!$B$32)</f>
        <v>0.6564560965883669</v>
      </c>
    </row>
    <row r="15" spans="1:6" x14ac:dyDescent="0.25">
      <c r="A15" s="19" t="s">
        <v>51</v>
      </c>
      <c r="B15" s="20">
        <f>B13*B14</f>
        <v>5305170637.299584</v>
      </c>
      <c r="C15" s="20">
        <f>C13*C14</f>
        <v>5064733337.572362</v>
      </c>
      <c r="D15" s="20">
        <f>D13*D14</f>
        <v>4835192971.997203</v>
      </c>
      <c r="E15" s="20">
        <f>E13*E14</f>
        <v>4616055677.209108</v>
      </c>
      <c r="F15" s="20">
        <f>F13*F14</f>
        <v>4406849972.379298</v>
      </c>
    </row>
    <row r="17" spans="1:2" x14ac:dyDescent="0.25">
      <c r="A17" s="22" t="s">
        <v>52</v>
      </c>
      <c r="B17" s="23">
        <f>SUM(B15:F15)</f>
        <v>24228002596.457554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6713091698.411979</v>
      </c>
    </row>
    <row r="5" spans="1:2" x14ac:dyDescent="0.25">
      <c r="A5" t="s">
        <v>56</v>
      </c>
      <c r="B5" s="18">
        <f>IF(Assumptions!$B$33=0,B4,B4-Forecast!F11-Forecast!F10-Forecast!F12)</f>
        <v>6793060611.522883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0.13055259157099436</v>
      </c>
    </row>
    <row r="7" spans="1:2" x14ac:dyDescent="0.25">
      <c r="A7" t="s">
        <v>58</v>
      </c>
      <c r="B7" s="18">
        <f>-MAX(Forecast!F9,0)*B6</f>
        <v>-886851667.5331562</v>
      </c>
    </row>
    <row r="8" spans="1:2" x14ac:dyDescent="0.25">
      <c r="A8" t="s">
        <v>59</v>
      </c>
      <c r="B8" s="18">
        <f>IF(OR(Assumptions!$B$33=0,Assumptions!B12&lt;=0),B5,MAX(B5+B7,0))</f>
        <v>5906208943.989727</v>
      </c>
    </row>
    <row r="9" spans="1:2" x14ac:dyDescent="0.25">
      <c r="A9" t="s">
        <v>60</v>
      </c>
      <c r="B9" s="18">
        <f>B8*(1+Assumptions!B12)/(Assumptions!B26-Assumptions!B12)</f>
        <v>82876204451.37292</v>
      </c>
    </row>
    <row r="10" spans="1:2" x14ac:dyDescent="0.25">
      <c r="A10" t="s">
        <v>61</v>
      </c>
      <c r="B10" s="18">
        <f>B9/(1+Assumptions!B26)^(5-0.5*Assumptions!B32)</f>
        <v>54404589674.20771</v>
      </c>
    </row>
    <row r="11" spans="1:2" x14ac:dyDescent="0.25">
      <c r="A11" t="s">
        <v>62</v>
      </c>
      <c r="B11" s="18">
        <f>Forecast!B17+B10</f>
        <v>78632592270.66527</v>
      </c>
    </row>
    <row r="12" spans="1:2" x14ac:dyDescent="0.25">
      <c r="A12" t="s">
        <v>63</v>
      </c>
      <c r="B12" s="18">
        <f>-Assumptions!B30</f>
        <v>-626000000</v>
      </c>
    </row>
    <row r="13" spans="1:2" x14ac:dyDescent="0.25">
      <c r="A13" t="s">
        <v>64</v>
      </c>
      <c r="B13" s="18">
        <f>B11+B12</f>
        <v>78006592270.66527</v>
      </c>
    </row>
    <row r="14" spans="1:2" x14ac:dyDescent="0.25">
      <c r="A14" s="19" t="s">
        <v>65</v>
      </c>
      <c r="B14" s="24">
        <f>B13/Assumptions!B31</f>
        <v>79.36149068550156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6805640820.329797</v>
      </c>
    </row>
    <row r="18" spans="1:2" x14ac:dyDescent="0.25">
      <c r="A18" t="s">
        <v>60</v>
      </c>
      <c r="B18" s="18">
        <f>B17*Assumptions!B13</f>
        <v>35267378105.98798</v>
      </c>
    </row>
    <row r="19" spans="1:2" x14ac:dyDescent="0.25">
      <c r="A19" t="s">
        <v>61</v>
      </c>
      <c r="B19" s="18">
        <f>B18/(1+Assumptions!B26)^(5-0.5*Assumptions!B32)</f>
        <v>23151485368.362904</v>
      </c>
    </row>
    <row r="20" spans="1:2" x14ac:dyDescent="0.25">
      <c r="A20" t="s">
        <v>62</v>
      </c>
      <c r="B20" s="18">
        <f>Forecast!B17+B19</f>
        <v>47379487964.82046</v>
      </c>
    </row>
    <row r="21" spans="1:2" x14ac:dyDescent="0.25">
      <c r="A21" t="s">
        <v>63</v>
      </c>
      <c r="B21" s="18">
        <f>-Assumptions!B30</f>
        <v>-626000000</v>
      </c>
    </row>
    <row r="22" spans="1:2" x14ac:dyDescent="0.25">
      <c r="A22" t="s">
        <v>64</v>
      </c>
      <c r="B22" s="18">
        <f>B20+B21</f>
        <v>46753487964.82046</v>
      </c>
    </row>
    <row r="23" spans="1:2" x14ac:dyDescent="0.25">
      <c r="A23" s="19" t="s">
        <v>65</v>
      </c>
      <c r="B23" s="25">
        <f>B22/Assumptions!B31</f>
        <v>47.56555044425561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2664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7936.149068550157</v>
      </c>
    </row>
    <row r="29" spans="1:2" x14ac:dyDescent="0.25">
      <c r="A29" s="19" t="s">
        <v>73</v>
      </c>
      <c r="B29" s="12">
        <f>B28/B26-1</f>
        <v>1.9790349356419505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0.078047</v>
      </c>
      <c r="B5" s="31">
        <v>98.25832890235813</v>
      </c>
      <c r="C5" s="31">
        <v>102.6870699624756</v>
      </c>
      <c r="D5" s="31">
        <v>107.92642563565362</v>
      </c>
      <c r="E5" s="31">
        <v>114.22946519148056</v>
      </c>
      <c r="F5" s="31">
        <v>121.96683602094146</v>
      </c>
    </row>
    <row r="6" spans="1:6" x14ac:dyDescent="0.25">
      <c r="A6" s="30">
        <v>0.088047</v>
      </c>
      <c r="B6" s="31">
        <v>85.1065018193974</v>
      </c>
      <c r="C6" s="31">
        <v>88.02504297457217</v>
      </c>
      <c r="D6" s="31">
        <v>91.38692072705034</v>
      </c>
      <c r="E6" s="31">
        <v>95.30669825769492</v>
      </c>
      <c r="F6" s="31">
        <v>99.94213183307131</v>
      </c>
    </row>
    <row r="7" spans="1:6" x14ac:dyDescent="0.25">
      <c r="A7" s="30">
        <v>0.098047</v>
      </c>
      <c r="B7" s="31">
        <v>75.11733116038137</v>
      </c>
      <c r="C7" s="31">
        <v>77.11108653664958</v>
      </c>
      <c r="D7" s="32">
        <v>79.36156664180119</v>
      </c>
      <c r="E7" s="31">
        <v>81.92536281613408</v>
      </c>
      <c r="F7" s="31">
        <v>84.87701851195719</v>
      </c>
    </row>
    <row r="8" spans="1:6" x14ac:dyDescent="0.25">
      <c r="A8" s="30">
        <v>0.108047</v>
      </c>
      <c r="B8" s="31">
        <v>67.27136484317448</v>
      </c>
      <c r="C8" s="31">
        <v>68.66859435184796</v>
      </c>
      <c r="D8" s="31">
        <v>70.22037570162853</v>
      </c>
      <c r="E8" s="31">
        <v>71.95641250209266</v>
      </c>
      <c r="F8" s="31">
        <v>73.91454110189602</v>
      </c>
    </row>
    <row r="9" spans="1:6" x14ac:dyDescent="0.25">
      <c r="A9" s="30">
        <v>0.118047</v>
      </c>
      <c r="B9" s="31">
        <v>60.94485785298568</v>
      </c>
      <c r="C9" s="31">
        <v>61.941745449404486</v>
      </c>
      <c r="D9" s="31">
        <v>63.03403331166466</v>
      </c>
      <c r="E9" s="31">
        <v>64.23797416828188</v>
      </c>
      <c r="F9" s="31">
        <v>65.57373485147596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5428000000</v>
      </c>
      <c r="C5" s="18">
        <v>5189000000</v>
      </c>
      <c r="D5" s="18">
        <v>3984000000</v>
      </c>
      <c r="E5" s="18">
        <v>4712000000</v>
      </c>
      <c r="F5" s="8" t="s">
        <v>84</v>
      </c>
    </row>
    <row r="6" spans="1:6" x14ac:dyDescent="0.25">
      <c r="A6" t="s">
        <v>44</v>
      </c>
      <c r="B6" s="18">
        <v>5363000000</v>
      </c>
      <c r="C6" s="18">
        <v>5118000000</v>
      </c>
      <c r="D6" s="18">
        <v>3950000000</v>
      </c>
      <c r="E6" s="18">
        <v>4667000000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12000000</v>
      </c>
      <c r="D7" s="18">
        <v>8000000</v>
      </c>
      <c r="E7" s="18">
        <v>6000000</v>
      </c>
      <c r="F7" s="8" t="s">
        <v>85</v>
      </c>
    </row>
    <row r="8" spans="1:6" x14ac:dyDescent="0.25">
      <c r="A8" t="s">
        <v>87</v>
      </c>
      <c r="B8" s="18">
        <v>1000000</v>
      </c>
      <c r="C8" s="18">
        <v>16000000</v>
      </c>
      <c r="D8" s="18">
        <v>3000000</v>
      </c>
      <c r="E8" s="18">
        <v>1000000</v>
      </c>
      <c r="F8" s="8" t="s">
        <v>88</v>
      </c>
    </row>
    <row r="9" spans="1:6" x14ac:dyDescent="0.25">
      <c r="A9" t="s">
        <v>89</v>
      </c>
      <c r="B9" s="18">
        <v>36000000</v>
      </c>
      <c r="C9" s="18">
        <v>11000000</v>
      </c>
      <c r="D9" s="18">
        <v>-48000000</v>
      </c>
      <c r="E9" s="18">
        <v>0</v>
      </c>
      <c r="F9" s="8" t="s">
        <v>85</v>
      </c>
    </row>
    <row r="10" spans="1:6" x14ac:dyDescent="0.25">
      <c r="A10" t="s">
        <v>90</v>
      </c>
      <c r="B10" s="18">
        <v>1261000000</v>
      </c>
      <c r="C10" s="18">
        <v>1239000000</v>
      </c>
      <c r="D10" s="18">
        <v>1251000000</v>
      </c>
      <c r="E10" s="18">
        <v>785000000</v>
      </c>
      <c r="F10" s="8" t="s">
        <v>91</v>
      </c>
    </row>
    <row r="11" spans="1:6" x14ac:dyDescent="0.25">
      <c r="A11" t="s">
        <v>92</v>
      </c>
      <c r="B11" s="18">
        <v>635000000</v>
      </c>
      <c r="C11" s="18">
        <v>412000000</v>
      </c>
      <c r="D11" s="18">
        <v>358000000</v>
      </c>
      <c r="E11" s="18">
        <v>162000000</v>
      </c>
      <c r="F11" s="8" t="s">
        <v>93</v>
      </c>
    </row>
    <row r="12" spans="1:6" x14ac:dyDescent="0.25">
      <c r="A12" t="s">
        <v>32</v>
      </c>
      <c r="B12" s="34">
        <v>982927508</v>
      </c>
      <c r="C12" s="34">
        <v>967799507</v>
      </c>
      <c r="D12" s="34">
        <v>966901059</v>
      </c>
      <c r="E12" s="34">
        <v>965273696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19" ht="22" customHeight="1" spans="1:6" x14ac:dyDescent="0.25">
      <c r="A19" s="35" t="s">
        <v>99</v>
      </c>
      <c r="B19" s="35"/>
      <c r="C19" s="35"/>
      <c r="D19" s="35"/>
      <c r="E19" s="35"/>
      <c r="F19" s="35"/>
    </row>
    <row r="21" spans="1:1" x14ac:dyDescent="0.25">
      <c r="A21" s="36" t="s">
        <v>100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