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<sst xmlns="http://schemas.openxmlformats.org/spreadsheetml/2006/main" count="115" uniqueCount="103">
  <si>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Iluka Resources Limited (ILU.AX)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</si>
  <si>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</si>
  <si>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</si>
  <si>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</si>
  <si>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</si>
  <si>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</si>
  <si>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</si>
  <si>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</si>
  <si>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</si>
  <si>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</si>
  <si>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</si>
  <si>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</si>
  <si>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</si>
  <si>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</si>
  <si>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</si>
  <si>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</si>
  <si>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</si>
  <si>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</si>
  <si>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</si>
  <si>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</si>
  <si>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</si>
  <si>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</si>
  <si>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</si>
  <si>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</si>
  <si>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</si>
  <si>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</si>
  <si>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</si>
  <si>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</si>
  <si>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</si>
  <si>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</si>
  <si>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</si>
  <si>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</si>
  <si>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</si>
  <si>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</si>
  <si>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</si>
  <si>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</si>
  <si>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</si>
  <si>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</si>
  <si>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</si>
  <si>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</si>
  <si>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</si>
  <si>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</si>
  <si>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</si>
  <si>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</si>
  <si>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</si>
  <si>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</si>
  <si>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</si>
  <si>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</si>
  <si>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</si>
  <si>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</si>
  <si>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</si>
  <si>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</si>
  <si>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</si>
  <si>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</si>
  <si>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</si>
  <si>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</si>
  <si>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</si>
  <si>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</si>
  <si>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</si>
  <si>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</si>
  <si>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</si>
  <si>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</si>
  <si>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</si>
  <si>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</si>
  <si>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</si>
  <si>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</si>
  <si>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</si>
  <si>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</si>
  <si>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</si>
  <si>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</si>
  <si>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</si>
  <si>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</si>
  <si>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</si>
  <si>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</si>
  <si>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</si>
  <si>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</si>
  <si>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</si>
  <si>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</si>
  <si>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</si>
  <si>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</si>
  <si>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</si>
  <si>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</si>
  <si>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</si>
  <si>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</si>
  <si>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</si>
  <si>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</si>
  <si>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</si>
  <si>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</si>
  <si>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</si>
  <si>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</si>
  <si>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</si>
  <si>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</si>
  <si>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</si>
  <si>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</si>
  <si>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</si>
  <si>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</si>
  <si>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</si>
  <si>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</si>
  <si>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</si>
  <si>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</si>
  <si>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Adjusted: Free cashflow is negative in at least one forecast year, so terminal value carries most of the valuation.</t>
  </si>
  <si>
    <t>Adjusted: Capital expenditure runs at 38.3% of revenue against depreciation of 15.3%.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</si>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</sst>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-0.1426590181298366</v>
      </c>
    </row>
    <row r="7" spans="1:2" x14ac:dyDescent="0.25">
      <c r="A7" t="s">
        <v>5</v>
      </c>
      <c r="B7" s="6">
        <v>0.30907298848446463</v>
      </c>
    </row>
    <row r="8" spans="1:2" x14ac:dyDescent="0.25">
      <c r="A8" t="s">
        <v>6</v>
      </c>
      <c r="B8" s="6">
        <v>0.288964033200123</v>
      </c>
    </row>
    <row r="9" spans="1:2" x14ac:dyDescent="0.25">
      <c r="A9" t="s">
        <v>7</v>
      </c>
      <c r="B9" s="6">
        <v>0.15319975966592797</v>
      </c>
    </row>
    <row r="10" spans="1:2" x14ac:dyDescent="0.25">
      <c r="A10" t="s">
        <v>8</v>
      </c>
      <c r="B10" s="6">
        <v>0.3831153381021306</v>
      </c>
    </row>
    <row r="11" spans="1:2" x14ac:dyDescent="0.25">
      <c r="A11" t="s">
        <v>9</v>
      </c>
      <c r="B11" s="6">
        <v>-0.2900405869497346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9.630469623082922</v>
      </c>
    </row>
    <row r="14" spans="1:3" x14ac:dyDescent="0.25">
      <c r="A14" t="s">
        <v>12</v>
      </c>
      <c r="B14" s="6">
        <v>0.11535417298259415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0.86533</v>
      </c>
      <c r="C19" s="8" t="s">
        <v>19</v>
      </c>
    </row>
    <row r="20" spans="1:2" x14ac:dyDescent="0.25">
      <c r="A20" t="s">
        <v>20</v>
      </c>
      <c r="B20" s="10">
        <f>B17+B19*B18</f>
        <v>0.1053998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2613041664</v>
      </c>
    </row>
    <row r="23" spans="1:2" x14ac:dyDescent="0.25">
      <c r="A23" t="s">
        <v>24</v>
      </c>
      <c r="B23" s="11">
        <v>1137500000</v>
      </c>
    </row>
    <row r="24" spans="1:2" x14ac:dyDescent="0.25">
      <c r="A24" t="s">
        <v>25</v>
      </c>
      <c r="B24" s="10">
        <f>B22/(B22+B23)</f>
        <v>0.6967104749379476</v>
      </c>
    </row>
    <row r="25" spans="1:2" x14ac:dyDescent="0.25">
      <c r="A25" t="s">
        <v>26</v>
      </c>
      <c r="B25" s="10">
        <f>1-B24</f>
        <v>0.3032895250620524</v>
      </c>
    </row>
    <row r="26" spans="1:2" x14ac:dyDescent="0.25">
      <c r="A26" t="s">
        <v>27</v>
      </c>
      <c r="B26" s="12">
        <f>B24*B20+B25*B21*(1-B8)</f>
        <v>0.08496609391714452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1015400000</v>
      </c>
      <c r="C29" s="8" t="s">
        <v>30</v>
      </c>
    </row>
    <row r="30" spans="1:2" x14ac:dyDescent="0.25">
      <c r="A30" t="s">
        <v>31</v>
      </c>
      <c r="B30" s="11">
        <v>1091800000</v>
      </c>
    </row>
    <row r="31" spans="1:2" x14ac:dyDescent="0.25">
      <c r="A31" t="s">
        <v>32</v>
      </c>
      <c r="B31" s="13">
        <v>428812233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-0.1426590181298366</v>
      </c>
      <c r="C5" s="10">
        <f>Assumptions!B6</f>
        <v>-0.1426590181298366</v>
      </c>
      <c r="D5" s="10">
        <f>Assumptions!B6</f>
        <v>-0.1426590181298366</v>
      </c>
      <c r="E5" s="10">
        <f>Assumptions!B6</f>
        <v>-0.1426590181298366</v>
      </c>
      <c r="F5" s="10">
        <f>Assumptions!B6</f>
        <v>-0.1426590181298366</v>
      </c>
    </row>
    <row r="6" spans="1:6" x14ac:dyDescent="0.25">
      <c r="A6" t="s">
        <v>43</v>
      </c>
      <c r="B6" s="18">
        <f>Assumptions!B29*(1+B5)</f>
        <v>870544032.9909639</v>
      </c>
      <c r="C6" s="18">
        <f>B6*(1+C5)</f>
        <v>746353076.005685</v>
      </c>
      <c r="D6" s="18">
        <f>C6*(1+D5)</f>
        <v>639879079.0045307</v>
      </c>
      <c r="E6" s="18">
        <f>D6*(1+E5)</f>
        <v>548594557.8719202</v>
      </c>
      <c r="F6" s="18">
        <f>E6*(1+F5)</f>
        <v>470332596.89454025</v>
      </c>
    </row>
    <row r="7" spans="1:6" x14ac:dyDescent="0.25">
      <c r="A7" t="s">
        <v>5</v>
      </c>
      <c r="B7" s="10">
        <f>Assumptions!B7</f>
        <v>0.30907298848446463</v>
      </c>
      <c r="C7" s="10">
        <f>Assumptions!B7</f>
        <v>0.30907298848446463</v>
      </c>
      <c r="D7" s="10">
        <f>Assumptions!B7</f>
        <v>0.30907298848446463</v>
      </c>
      <c r="E7" s="10">
        <f>Assumptions!B7</f>
        <v>0.30907298848446463</v>
      </c>
      <c r="F7" s="10">
        <f>Assumptions!B7</f>
        <v>0.30907298848446463</v>
      </c>
    </row>
    <row r="8" spans="1:6" x14ac:dyDescent="0.25">
      <c r="A8" t="s">
        <v>44</v>
      </c>
      <c r="B8" s="18">
        <f>B6*B7</f>
        <v>269061645.8838356</v>
      </c>
      <c r="C8" s="18">
        <f>C6*C7</f>
        <v>230677575.66564983</v>
      </c>
      <c r="D8" s="18">
        <f>D6*D7</f>
        <v>197769339.21661714</v>
      </c>
      <c r="E8" s="18">
        <f>E6*E7</f>
        <v>169555759.46778795</v>
      </c>
      <c r="F8" s="18">
        <f>F6*F7</f>
        <v>145367101.30385458</v>
      </c>
    </row>
    <row r="9" spans="1:6" x14ac:dyDescent="0.25">
      <c r="A9" t="s">
        <v>45</v>
      </c>
      <c r="B9" s="18">
        <f>B8*(1-Assumptions!B8)</f>
        <v>191312507.5097792</v>
      </c>
      <c r="C9" s="18">
        <f>C8*(1-Assumptions!B8)</f>
        <v>164020053.0324771</v>
      </c>
      <c r="D9" s="18">
        <f>D8*(1-Assumptions!B8)</f>
        <v>140621113.3132602</v>
      </c>
      <c r="E9" s="18">
        <f>E8*(1-Assumptions!B8)</f>
        <v>120560243.359666</v>
      </c>
      <c r="F9" s="18">
        <f>F8*(1-Assumptions!B8)</f>
        <v>103361237.41648191</v>
      </c>
    </row>
    <row r="10" spans="1:6" x14ac:dyDescent="0.25">
      <c r="A10" t="s">
        <v>46</v>
      </c>
      <c r="B10" s="18">
        <f>B6*Assumptions!B9</f>
        <v>133367136.63282335</v>
      </c>
      <c r="C10" s="18">
        <f>C6*Assumptions!B9</f>
        <v>114341111.86999701</v>
      </c>
      <c r="D10" s="18">
        <f>D6*Assumptions!B9</f>
        <v>98029321.11874944</v>
      </c>
      <c r="E10" s="18">
        <f>E6*Assumptions!B9</f>
        <v>84044554.42001419</v>
      </c>
      <c r="F10" s="18">
        <f>F6*Assumptions!B9</f>
        <v>72054840.80729535</v>
      </c>
    </row>
    <row r="11" spans="1:6" x14ac:dyDescent="0.25">
      <c r="A11" t="s">
        <v>47</v>
      </c>
      <c r="B11" s="18">
        <f>-B6*Assumptions!B10</f>
        <v>-333518771.5321255</v>
      </c>
      <c r="C11" s="18">
        <f>-C6*Assumptions!B10</f>
        <v>-285939311.0574832</v>
      </c>
      <c r="D11" s="18">
        <f>-D6*Assumptions!B10</f>
        <v>-245147489.6973007</v>
      </c>
      <c r="E11" s="18">
        <f>-E6*Assumptions!B10</f>
        <v>-210174989.52008957</v>
      </c>
      <c r="F11" s="18">
        <f>-F6*Assumptions!B10</f>
        <v>-180191631.8797049</v>
      </c>
    </row>
    <row r="12" spans="1:6" x14ac:dyDescent="0.25">
      <c r="A12" t="s">
        <v>48</v>
      </c>
      <c r="B12" s="18">
        <f>-(B6-Assumptions!B29)*Assumptions!B11</f>
        <v>-42014109.694472216</v>
      </c>
      <c r="C12" s="18">
        <f>-(C6-B6)*Assumptions!B11</f>
        <v>-36020418.057859555</v>
      </c>
      <c r="D12" s="18">
        <f>-(D6-C6)*Assumptions!B11</f>
        <v>-30881780.58509908</v>
      </c>
      <c r="E12" s="18">
        <f>-(E6-D6)*Assumptions!B11</f>
        <v>-26476216.088727783</v>
      </c>
      <c r="F12" s="18">
        <f>-(F6-E6)*Assumptions!B11</f>
        <v>-22699145.097716514</v>
      </c>
    </row>
    <row r="13" spans="1:6" x14ac:dyDescent="0.25">
      <c r="A13" s="19" t="s">
        <v>49</v>
      </c>
      <c r="B13" s="20">
        <f>B9+B10+B11+B12</f>
        <v>-50853237.083995126</v>
      </c>
      <c r="C13" s="20">
        <f>C9+C10+C11+C12</f>
        <v>-43598564.212868646</v>
      </c>
      <c r="D13" s="20">
        <f>D9+D10+D11+D12</f>
        <v>-37378835.85039014</v>
      </c>
      <c r="E13" s="20">
        <f>E9+E10+E11+E12</f>
        <v>-32046407.829137158</v>
      </c>
      <c r="F13" s="20">
        <f>F9+F10+F11+F12</f>
        <v>-27474698.753644142</v>
      </c>
    </row>
    <row r="14" spans="1:6" x14ac:dyDescent="0.25">
      <c r="A14" t="s">
        <v>50</v>
      </c>
      <c r="B14" s="21">
        <f>1/(1+Assumptions!$B$26)^(1-0.5*Assumptions!$B$32)</f>
        <v>0.9600457222322946</v>
      </c>
      <c r="C14" s="21">
        <f>1/(1+Assumptions!$B$26)^(2-0.5*Assumptions!$B$32)</f>
        <v>0.8848624188486486</v>
      </c>
      <c r="D14" s="21">
        <f>1/(1+Assumptions!$B$26)^(3-0.5*Assumptions!$B$32)</f>
        <v>0.815566886200061</v>
      </c>
      <c r="E14" s="21">
        <f>1/(1+Assumptions!$B$26)^(4-0.5*Assumptions!$B$32)</f>
        <v>0.7516980399410926</v>
      </c>
      <c r="F14" s="21">
        <f>1/(1+Assumptions!$B$26)^(5-0.5*Assumptions!$B$32)</f>
        <v>0.6928309042609561</v>
      </c>
    </row>
    <row r="15" spans="1:6" x14ac:dyDescent="0.25">
      <c r="A15" s="19" t="s">
        <v>51</v>
      </c>
      <c r="B15" s="20">
        <f>B13*B14</f>
        <v>-48821432.724154204</v>
      </c>
      <c r="C15" s="20">
        <f>C13*C14</f>
        <v>-38578730.987727076</v>
      </c>
      <c r="D15" s="20">
        <f>D13*D14</f>
        <v>-30484940.7642859</v>
      </c>
      <c r="E15" s="20">
        <f>E13*E14</f>
        <v>-24089221.952315286</v>
      </c>
      <c r="F15" s="20">
        <f>F13*F14</f>
        <v>-19035320.381784633</v>
      </c>
    </row>
    <row r="17" spans="1:2" x14ac:dyDescent="0.25">
      <c r="A17" s="22" t="s">
        <v>52</v>
      </c>
      <c r="B17" s="23">
        <f>SUM(B15:F15)</f>
        <v>-161009646.8102671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-27474698.753644142</v>
      </c>
    </row>
    <row r="5" spans="1:2" x14ac:dyDescent="0.25">
      <c r="A5" t="s">
        <v>56</v>
      </c>
      <c r="B5" s="18">
        <f>IF(Assumptions!$B$33=0,B4,B4-Forecast!F11-Forecast!F10-Forecast!F12)</f>
        <v>103361237.41648191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0.2167238458184973</v>
      </c>
    </row>
    <row r="7" spans="1:2" x14ac:dyDescent="0.25">
      <c r="A7" t="s">
        <v>58</v>
      </c>
      <c r="B7" s="18">
        <f>-MAX(Forecast!F9,0)*B6</f>
        <v>-22400844.88145872</v>
      </c>
    </row>
    <row r="8" spans="1:2" x14ac:dyDescent="0.25">
      <c r="A8" t="s">
        <v>59</v>
      </c>
      <c r="B8" s="18">
        <f>IF(OR(Assumptions!$B$33=0,Assumptions!B12&lt;=0),B5,MAX(B5+B7,0))</f>
        <v>80960392.5350232</v>
      </c>
    </row>
    <row r="9" spans="1:2" x14ac:dyDescent="0.25">
      <c r="A9" t="s">
        <v>60</v>
      </c>
      <c r="B9" s="18">
        <f>B8*(1+Assumptions!B12)/(Assumptions!B26-Assumptions!B12)</f>
        <v>1383855391.0658042</v>
      </c>
    </row>
    <row r="10" spans="1:2" x14ac:dyDescent="0.25">
      <c r="A10" t="s">
        <v>61</v>
      </c>
      <c r="B10" s="18">
        <f>B9/(1+Assumptions!B26)^(5-0.5*Assumptions!B32)</f>
        <v>958777781.9585202</v>
      </c>
    </row>
    <row r="11" spans="1:2" x14ac:dyDescent="0.25">
      <c r="A11" t="s">
        <v>62</v>
      </c>
      <c r="B11" s="18">
        <f>Forecast!B17+B10</f>
        <v>797768135.1482531</v>
      </c>
    </row>
    <row r="12" spans="1:2" x14ac:dyDescent="0.25">
      <c r="A12" t="s">
        <v>63</v>
      </c>
      <c r="B12" s="18">
        <f>-Assumptions!B30</f>
        <v>-1091800000</v>
      </c>
    </row>
    <row r="13" spans="1:2" x14ac:dyDescent="0.25">
      <c r="A13" t="s">
        <v>64</v>
      </c>
      <c r="B13" s="18">
        <f>B11+B12</f>
        <v>-294031864.8517469</v>
      </c>
    </row>
    <row r="14" spans="1:2" x14ac:dyDescent="0.25">
      <c r="A14" s="19" t="s">
        <v>65</v>
      </c>
      <c r="B14" s="24">
        <f>B13/Assumptions!B31</f>
        <v>-0.6856890783984395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217421942.11114994</v>
      </c>
    </row>
    <row r="18" spans="1:2" x14ac:dyDescent="0.25">
      <c r="A18" t="s">
        <v>60</v>
      </c>
      <c r="B18" s="18">
        <f>B17*Assumptions!B13</f>
        <v>2093875408.893123</v>
      </c>
    </row>
    <row r="19" spans="1:2" x14ac:dyDescent="0.25">
      <c r="A19" t="s">
        <v>61</v>
      </c>
      <c r="B19" s="18">
        <f>B18/(1+Assumptions!B26)^(5-0.5*Assumptions!B32)</f>
        <v>1450701592.9532015</v>
      </c>
    </row>
    <row r="20" spans="1:2" x14ac:dyDescent="0.25">
      <c r="A20" t="s">
        <v>62</v>
      </c>
      <c r="B20" s="18">
        <f>Forecast!B17+B19</f>
        <v>1289691946.1429343</v>
      </c>
    </row>
    <row r="21" spans="1:2" x14ac:dyDescent="0.25">
      <c r="A21" t="s">
        <v>63</v>
      </c>
      <c r="B21" s="18">
        <f>-Assumptions!B30</f>
        <v>-1091800000</v>
      </c>
    </row>
    <row r="22" spans="1:2" x14ac:dyDescent="0.25">
      <c r="A22" t="s">
        <v>64</v>
      </c>
      <c r="B22" s="18">
        <f>B20+B21</f>
        <v>197891946.14293432</v>
      </c>
    </row>
    <row r="23" spans="1:2" x14ac:dyDescent="0.25">
      <c r="A23" s="19" t="s">
        <v>65</v>
      </c>
      <c r="B23" s="25">
        <f>B22/Assumptions!B31</f>
        <v>0.4614885745177291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-0.6856890783984395</v>
      </c>
    </row>
    <row r="29" spans="1:2" x14ac:dyDescent="0.25">
      <c r="A29" s="19" t="s">
        <v>73</v>
      </c>
      <c r="B29" s="12">
        <f>B28/B26-1</f>
        <v>-1.1131500129370362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0.064966</v>
      </c>
      <c r="B5" s="31">
        <v>0.27279341543496377</v>
      </c>
      <c r="C5" s="31">
        <v>0.468648609138687</v>
      </c>
      <c r="D5" s="31">
        <v>0.7115398932323546</v>
      </c>
      <c r="E5" s="31">
        <v>1.0216451935824986</v>
      </c>
      <c r="F5" s="31">
        <v>1.4326096494752163</v>
      </c>
    </row>
    <row r="6" spans="1:6" x14ac:dyDescent="0.25">
      <c r="A6" s="30">
        <v>0.074966</v>
      </c>
      <c r="B6" s="31">
        <v>-0.3650118760251539</v>
      </c>
      <c r="C6" s="31">
        <v>-0.25806201221775615</v>
      </c>
      <c r="D6" s="31">
        <v>-0.1312179662841326</v>
      </c>
      <c r="E6" s="31">
        <v>0.02215666999288928</v>
      </c>
      <c r="F6" s="31">
        <v>0.212019331812003</v>
      </c>
    </row>
    <row r="7" spans="1:6" x14ac:dyDescent="0.25">
      <c r="A7" s="30">
        <v>0.084966</v>
      </c>
      <c r="B7" s="31">
        <v>-0.8139281703372129</v>
      </c>
      <c r="C7" s="31">
        <v>-0.7541843840584029</v>
      </c>
      <c r="D7" s="32">
        <v>-0.685684771960426</v>
      </c>
      <c r="E7" s="31">
        <v>-0.6060399044452123</v>
      </c>
      <c r="F7" s="31">
        <v>-0.5119039297083648</v>
      </c>
    </row>
    <row r="8" spans="1:6" x14ac:dyDescent="0.25">
      <c r="A8" s="30">
        <v>0.094966</v>
      </c>
      <c r="B8" s="31">
        <v>-1.1451479556341466</v>
      </c>
      <c r="C8" s="31">
        <v>-1.112335863884745</v>
      </c>
      <c r="D8" s="31">
        <v>-1.075826796726446</v>
      </c>
      <c r="E8" s="31">
        <v>-1.0347671594922951</v>
      </c>
      <c r="F8" s="31">
        <v>-0.9880186646337183</v>
      </c>
    </row>
    <row r="9" spans="1:6" x14ac:dyDescent="0.25">
      <c r="A9" s="30">
        <v>0.104966</v>
      </c>
      <c r="B9" s="31">
        <v>-1.3981913207952412</v>
      </c>
      <c r="C9" s="31">
        <v>-1.3815118937578543</v>
      </c>
      <c r="D9" s="31">
        <v>-1.3635804323782323</v>
      </c>
      <c r="E9" s="31">
        <v>-1.3441464162186634</v>
      </c>
      <c r="F9" s="31">
        <v>-1.3228877127905214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1015400000</v>
      </c>
      <c r="C5" s="18">
        <v>1170300000</v>
      </c>
      <c r="D5" s="18">
        <v>1291000000</v>
      </c>
      <c r="E5" s="18">
        <v>1611300000</v>
      </c>
      <c r="F5" s="8" t="s">
        <v>84</v>
      </c>
    </row>
    <row r="6" spans="1:6" x14ac:dyDescent="0.25">
      <c r="A6" t="s">
        <v>44</v>
      </c>
      <c r="B6" s="18">
        <v>152200000</v>
      </c>
      <c r="C6" s="18">
        <v>320100000</v>
      </c>
      <c r="D6" s="18">
        <v>463900000</v>
      </c>
      <c r="E6" s="18">
        <v>730800000</v>
      </c>
      <c r="F6" s="8" t="s">
        <v>85</v>
      </c>
    </row>
    <row r="7" spans="1:6" x14ac:dyDescent="0.25">
      <c r="A7" t="s">
        <v>86</v>
      </c>
      <c r="B7" s="18">
        <v>232500000</v>
      </c>
      <c r="C7" s="18">
        <v>192200000</v>
      </c>
      <c r="D7" s="18">
        <v>167800000</v>
      </c>
      <c r="E7" s="18">
        <v>144400000</v>
      </c>
      <c r="F7" s="8" t="s">
        <v>87</v>
      </c>
    </row>
    <row r="8" spans="1:6" x14ac:dyDescent="0.25">
      <c r="A8" t="s">
        <v>88</v>
      </c>
      <c r="B8" s="18">
        <v>862100000</v>
      </c>
      <c r="C8" s="18">
        <v>433900000</v>
      </c>
      <c r="D8" s="18">
        <v>281400000</v>
      </c>
      <c r="E8" s="18">
        <v>152600000</v>
      </c>
      <c r="F8" s="8" t="s">
        <v>89</v>
      </c>
    </row>
    <row r="9" spans="1:6" x14ac:dyDescent="0.25">
      <c r="A9" t="s">
        <v>90</v>
      </c>
      <c r="B9" s="18">
        <v>41300000</v>
      </c>
      <c r="C9" s="18">
        <v>168600000</v>
      </c>
      <c r="D9" s="18">
        <v>92900000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1137500000</v>
      </c>
      <c r="C10" s="18">
        <v>291300000</v>
      </c>
      <c r="D10" s="18">
        <v>163700000</v>
      </c>
      <c r="E10" s="18">
        <v>62500000</v>
      </c>
      <c r="F10" s="8" t="s">
        <v>93</v>
      </c>
    </row>
    <row r="11" spans="1:6" x14ac:dyDescent="0.25">
      <c r="A11" t="s">
        <v>94</v>
      </c>
      <c r="B11" s="18">
        <v>45700000</v>
      </c>
      <c r="C11" s="18">
        <v>136000000</v>
      </c>
      <c r="D11" s="18">
        <v>364900000</v>
      </c>
      <c r="E11" s="18">
        <v>521700000</v>
      </c>
      <c r="F11" s="8" t="s">
        <v>95</v>
      </c>
    </row>
    <row r="12" spans="1:6" x14ac:dyDescent="0.25">
      <c r="A12" t="s">
        <v>32</v>
      </c>
      <c r="B12" s="34">
        <v>428812233</v>
      </c>
      <c r="C12" s="34">
        <v>431529851</v>
      </c>
      <c r="D12" s="34">
        <v>429323308</v>
      </c>
      <c r="E12" s="34">
        <v>422342323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