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<sst xmlns="http://schemas.openxmlformats.org/spreadsheetml/2006/main" count="113" uniqueCount="101">
  <si>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Imperial Brands PLC (IMB.L)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</si>
  <si>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</si>
  <si>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</si>
  <si>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</si>
  <si>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</si>
  <si>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</si>
  <si>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</si>
  <si>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</si>
  <si>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</si>
  <si>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</si>
  <si>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</si>
  <si>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</si>
  <si>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</si>
  <si>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</si>
  <si>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</si>
  <si>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</si>
  <si>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</si>
  <si>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</si>
  <si>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</si>
  <si>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</si>
  <si>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</si>
  <si>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</si>
  <si>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</si>
  <si>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</si>
  <si>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</si>
  <si>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</si>
  <si>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</si>
  <si>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</si>
  <si>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</si>
  <si>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</si>
  <si>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2025-09-30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</si>
  <si>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</si>
  <si>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</si>
  <si>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</si>
  <si>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</si>
  <si>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</si>
  <si>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</si>
  <si>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</si>
  <si>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</si>
  <si>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</si>
  <si>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</si>
  <si>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</si>
  <si>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</si>
  <si>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</si>
  <si>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</si>
  <si>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</si>
  <si>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</si>
  <si>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</si>
  <si>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</si>
  <si>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</si>
  <si>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</si>
  <si>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</si>
  <si>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</si>
  <si>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</si>
  <si>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</si>
  <si>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</si>
  <si>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</si>
  <si>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</si>
  <si>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</si>
  <si>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</si>
  <si>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</si>
  <si>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</si>
  <si>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</si>
  <si>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</si>
  <si>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</si>
  <si>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</si>
  <si>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</si>
  <si>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</si>
  <si>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</si>
  <si>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</si>
  <si>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</si>
  <si>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</si>
  <si>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</si>
  <si>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</si>
  <si>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</si>
  <si>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</si>
  <si>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</si>
  <si>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</si>
  <si>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</si>
  <si>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</si>
  <si>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</si>
  <si>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</si>
  <si>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</si>
  <si>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</si>
  <si>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</si>
  <si>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</si>
  <si>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</si>
  <si>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</si>
  <si>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</si>
  <si>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</si>
  <si>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</si>
  <si>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</si>
  <si>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</si>
  <si>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</si>
  <si>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</si>
  <si>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</si>
  <si>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</si>
  <si>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</si>
  <si>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0.83% of revenue, which is too low to be the company's real investment - property trusts and similar structures invest through lines that are not reported as capex. Capex has been set to 2.10% of revenue so the forecast is not handed free growth. Override it if the reported figure is right.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</si>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</sst>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-0.0039065709267392945</v>
      </c>
    </row>
    <row r="7" spans="1:2" x14ac:dyDescent="0.25">
      <c r="A7" t="s">
        <v>5</v>
      </c>
      <c r="B7" s="6">
        <v>0.10646770052632457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0.020993969878733264</v>
      </c>
    </row>
    <row r="10" spans="1:2" x14ac:dyDescent="0.25">
      <c r="A10" t="s">
        <v>8</v>
      </c>
      <c r="B10" s="6">
        <v>0.020993969878733264</v>
      </c>
    </row>
    <row r="11" spans="1:2" x14ac:dyDescent="0.25">
      <c r="A11" t="s">
        <v>9</v>
      </c>
      <c r="B11" s="6">
        <v>-0.29583333333333334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6.405723203747073</v>
      </c>
    </row>
    <row r="14" spans="1:3" x14ac:dyDescent="0.25">
      <c r="A14" t="s">
        <v>12</v>
      </c>
      <c r="B14" s="6">
        <v>0.17357609450010625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0.41978</v>
      </c>
      <c r="C19" s="8" t="s">
        <v>19</v>
      </c>
    </row>
    <row r="20" spans="1:2" x14ac:dyDescent="0.25">
      <c r="A20" t="s">
        <v>20</v>
      </c>
      <c r="B20" s="10">
        <f>B17+B19*B18</f>
        <v>0.06808789999999999</v>
      </c>
    </row>
    <row r="21" spans="1:3" x14ac:dyDescent="0.25">
      <c r="A21" t="s">
        <v>21</v>
      </c>
      <c r="B21" s="6">
        <v>0.04780124744483463</v>
      </c>
      <c r="C21" s="8" t="s">
        <v>22</v>
      </c>
    </row>
    <row r="22" spans="1:2" x14ac:dyDescent="0.25">
      <c r="A22" t="s">
        <v>23</v>
      </c>
      <c r="B22" s="11">
        <v>18795438080</v>
      </c>
    </row>
    <row r="23" spans="1:2" x14ac:dyDescent="0.25">
      <c r="A23" t="s">
        <v>24</v>
      </c>
      <c r="B23" s="11">
        <v>9996000000</v>
      </c>
    </row>
    <row r="24" spans="1:2" x14ac:dyDescent="0.25">
      <c r="A24" t="s">
        <v>25</v>
      </c>
      <c r="B24" s="10">
        <f>B22/(B22+B23)</f>
        <v>0.6528134519635638</v>
      </c>
    </row>
    <row r="25" spans="1:2" x14ac:dyDescent="0.25">
      <c r="A25" t="s">
        <v>26</v>
      </c>
      <c r="B25" s="10">
        <f>1-B24</f>
        <v>0.3471865480364362</v>
      </c>
    </row>
    <row r="26" spans="1:2" x14ac:dyDescent="0.25">
      <c r="A26" t="s">
        <v>27</v>
      </c>
      <c r="B26" s="12">
        <f>B24*B20+B25*B21*(1-B8)</f>
        <v>0.05689565960510566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32171000000</v>
      </c>
      <c r="C29" s="8" t="s">
        <v>30</v>
      </c>
    </row>
    <row r="30" spans="1:2" x14ac:dyDescent="0.25">
      <c r="A30" t="s">
        <v>31</v>
      </c>
      <c r="B30" s="11">
        <v>8557000000</v>
      </c>
    </row>
    <row r="31" spans="1:2" x14ac:dyDescent="0.25">
      <c r="A31" t="s">
        <v>32</v>
      </c>
      <c r="B31" s="13">
        <v>830600000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-0.0039065709267392945</v>
      </c>
      <c r="C5" s="10">
        <f>Assumptions!B6</f>
        <v>-0.0039065709267392945</v>
      </c>
      <c r="D5" s="10">
        <f>Assumptions!B6</f>
        <v>-0.0039065709267392945</v>
      </c>
      <c r="E5" s="10">
        <f>Assumptions!B6</f>
        <v>-0.0039065709267392945</v>
      </c>
      <c r="F5" s="10">
        <f>Assumptions!B6</f>
        <v>-0.0039065709267392945</v>
      </c>
    </row>
    <row r="6" spans="1:6" x14ac:dyDescent="0.25">
      <c r="A6" t="s">
        <v>43</v>
      </c>
      <c r="B6" s="18">
        <f>Assumptions!B29*(1+B5)</f>
        <v>32045321706.71587</v>
      </c>
      <c r="C6" s="18">
        <f>B6*(1+C5)</f>
        <v>31920134384.598408</v>
      </c>
      <c r="D6" s="18">
        <f>C6*(1+D5)</f>
        <v>31795436115.633923</v>
      </c>
      <c r="E6" s="18">
        <f>D6*(1+E5)</f>
        <v>31671224989.30159</v>
      </c>
      <c r="F6" s="18">
        <f>E6*(1+F5)</f>
        <v>31547499102.544167</v>
      </c>
    </row>
    <row r="7" spans="1:6" x14ac:dyDescent="0.25">
      <c r="A7" t="s">
        <v>5</v>
      </c>
      <c r="B7" s="10">
        <f>Assumptions!B7</f>
        <v>0.10646770052632457</v>
      </c>
      <c r="C7" s="10">
        <f>Assumptions!B7</f>
        <v>0.10646770052632457</v>
      </c>
      <c r="D7" s="10">
        <f>Assumptions!B7</f>
        <v>0.10646770052632457</v>
      </c>
      <c r="E7" s="10">
        <f>Assumptions!B7</f>
        <v>0.10646770052632457</v>
      </c>
      <c r="F7" s="10">
        <f>Assumptions!B7</f>
        <v>0.10646770052632457</v>
      </c>
    </row>
    <row r="8" spans="1:6" x14ac:dyDescent="0.25">
      <c r="A8" t="s">
        <v>44</v>
      </c>
      <c r="B8" s="18">
        <f>B6*B7</f>
        <v>3411791714.740353</v>
      </c>
      <c r="C8" s="18">
        <f>C6*C7</f>
        <v>3398463308.419459</v>
      </c>
      <c r="D8" s="18">
        <f>D6*D7</f>
        <v>3385186970.4631968</v>
      </c>
      <c r="E8" s="18">
        <f>E6*E7</f>
        <v>3371962497.4628086</v>
      </c>
      <c r="F8" s="18">
        <f>F6*F7</f>
        <v>3358789686.8041654</v>
      </c>
    </row>
    <row r="9" spans="1:6" x14ac:dyDescent="0.25">
      <c r="A9" t="s">
        <v>45</v>
      </c>
      <c r="B9" s="18">
        <f>B8*(1-Assumptions!B8)</f>
        <v>2558843786.055265</v>
      </c>
      <c r="C9" s="18">
        <f>C8*(1-Assumptions!B8)</f>
        <v>2548847481.3145943</v>
      </c>
      <c r="D9" s="18">
        <f>D8*(1-Assumptions!B8)</f>
        <v>2538890227.847398</v>
      </c>
      <c r="E9" s="18">
        <f>E8*(1-Assumptions!B8)</f>
        <v>2528971873.0971065</v>
      </c>
      <c r="F9" s="18">
        <f>F8*(1-Assumptions!B8)</f>
        <v>2519092265.103124</v>
      </c>
    </row>
    <row r="10" spans="1:6" x14ac:dyDescent="0.25">
      <c r="A10" t="s">
        <v>46</v>
      </c>
      <c r="B10" s="18">
        <f>B6*Assumptions!B9</f>
        <v>672758518.6651102</v>
      </c>
      <c r="C10" s="18">
        <f>C6*Assumptions!B9</f>
        <v>670130339.7953769</v>
      </c>
      <c r="D10" s="18">
        <f>D6*Assumptions!B9</f>
        <v>667512428.0928063</v>
      </c>
      <c r="E10" s="18">
        <f>E6*Assumptions!B9</f>
        <v>664904743.4479818</v>
      </c>
      <c r="F10" s="18">
        <f>F6*Assumptions!B9</f>
        <v>662307245.9081769</v>
      </c>
    </row>
    <row r="11" spans="1:6" x14ac:dyDescent="0.25">
      <c r="A11" t="s">
        <v>47</v>
      </c>
      <c r="B11" s="18">
        <f>-B6*Assumptions!B10</f>
        <v>-672758518.6651102</v>
      </c>
      <c r="C11" s="18">
        <f>-C6*Assumptions!B10</f>
        <v>-670130339.7953769</v>
      </c>
      <c r="D11" s="18">
        <f>-D6*Assumptions!B10</f>
        <v>-667512428.0928063</v>
      </c>
      <c r="E11" s="18">
        <f>-E6*Assumptions!B10</f>
        <v>-664904743.4479818</v>
      </c>
      <c r="F11" s="18">
        <f>-F6*Assumptions!B10</f>
        <v>-662307245.9081769</v>
      </c>
    </row>
    <row r="12" spans="1:6" x14ac:dyDescent="0.25">
      <c r="A12" t="s">
        <v>48</v>
      </c>
      <c r="B12" s="18">
        <f>-(B6-Assumptions!B29)*Assumptions!B11</f>
        <v>-37179828.42988849</v>
      </c>
      <c r="C12" s="18">
        <f>-(C6-B6)*Assumptions!B11</f>
        <v>-37034582.79308256</v>
      </c>
      <c r="D12" s="18">
        <f>-(D6-C6)*Assumptions!B11</f>
        <v>-36889904.5686602</v>
      </c>
      <c r="E12" s="18">
        <f>-(E6-D6)*Assumptions!B11</f>
        <v>-36745791.53998173</v>
      </c>
      <c r="F12" s="18">
        <f>-(F6-E6)*Assumptions!B11</f>
        <v>-36602241.49907109</v>
      </c>
    </row>
    <row r="13" spans="1:6" x14ac:dyDescent="0.25">
      <c r="A13" s="19" t="s">
        <v>49</v>
      </c>
      <c r="B13" s="20">
        <f>B9+B10+B11+B12</f>
        <v>2521663957.6253767</v>
      </c>
      <c r="C13" s="20">
        <f>C9+C10+C11+C12</f>
        <v>2511812898.5215116</v>
      </c>
      <c r="D13" s="20">
        <f>D9+D10+D11+D12</f>
        <v>2502000323.2787375</v>
      </c>
      <c r="E13" s="20">
        <f>E9+E10+E11+E12</f>
        <v>2492226081.5571246</v>
      </c>
      <c r="F13" s="20">
        <f>F9+F10+F11+F12</f>
        <v>2482490023.604053</v>
      </c>
    </row>
    <row r="14" spans="1:6" x14ac:dyDescent="0.25">
      <c r="A14" t="s">
        <v>50</v>
      </c>
      <c r="B14" s="21">
        <f>1/(1+Assumptions!$B$26)^(1-0.5*Assumptions!$B$32)</f>
        <v>0.9727112590244459</v>
      </c>
      <c r="C14" s="21">
        <f>1/(1+Assumptions!$B$26)^(2-0.5*Assumptions!$B$32)</f>
        <v>0.9203474819717643</v>
      </c>
      <c r="D14" s="21">
        <f>1/(1+Assumptions!$B$26)^(3-0.5*Assumptions!$B$32)</f>
        <v>0.8708025940002813</v>
      </c>
      <c r="E14" s="21">
        <f>1/(1+Assumptions!$B$26)^(4-0.5*Assumptions!$B$32)</f>
        <v>0.8239248463993547</v>
      </c>
      <c r="F14" s="21">
        <f>1/(1+Assumptions!$B$26)^(5-0.5*Assumptions!$B$32)</f>
        <v>0.7795706595173291</v>
      </c>
    </row>
    <row r="15" spans="1:6" x14ac:dyDescent="0.25">
      <c r="A15" s="19" t="s">
        <v>51</v>
      </c>
      <c r="B15" s="20">
        <f>B13*B14</f>
        <v>2452850923.058347</v>
      </c>
      <c r="C15" s="20">
        <f>C13*C14</f>
        <v>2311740676.338472</v>
      </c>
      <c r="D15" s="20">
        <f>D13*D14</f>
        <v>2178748371.700667</v>
      </c>
      <c r="E15" s="20">
        <f>E13*E14</f>
        <v>2053406991.4394195</v>
      </c>
      <c r="F15" s="20">
        <f>F13*F14</f>
        <v>1935276384.9462013</v>
      </c>
    </row>
    <row r="17" spans="1:2" x14ac:dyDescent="0.25">
      <c r="A17" s="22" t="s">
        <v>52</v>
      </c>
      <c r="B17" s="23">
        <f>SUM(B15:F15)</f>
        <v>10932023347.483107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2482490023.604053</v>
      </c>
    </row>
    <row r="5" spans="1:2" x14ac:dyDescent="0.25">
      <c r="A5" t="s">
        <v>56</v>
      </c>
      <c r="B5" s="18">
        <f>IF(Assumptions!$B$33=0,B4,B4-Forecast!F11-Forecast!F10-Forecast!F12)</f>
        <v>2519092265.103124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0.14402905003709884</v>
      </c>
    </row>
    <row r="7" spans="1:2" x14ac:dyDescent="0.25">
      <c r="A7" t="s">
        <v>58</v>
      </c>
      <c r="B7" s="18">
        <f>-MAX(Forecast!F9,0)*B6</f>
        <v>-362822465.89860654</v>
      </c>
    </row>
    <row r="8" spans="1:2" x14ac:dyDescent="0.25">
      <c r="A8" t="s">
        <v>59</v>
      </c>
      <c r="B8" s="18">
        <f>IF(OR(Assumptions!$B$33=0,Assumptions!B12&lt;=0),B5,MAX(B5+B7,0))</f>
        <v>2156269799.2045174</v>
      </c>
    </row>
    <row r="9" spans="1:2" x14ac:dyDescent="0.25">
      <c r="A9" t="s">
        <v>60</v>
      </c>
      <c r="B9" s="18">
        <f>B8*(1+Assumptions!B12)/(Assumptions!B26-Assumptions!B12)</f>
        <v>69293959477.50955</v>
      </c>
    </row>
    <row r="10" spans="1:2" x14ac:dyDescent="0.25">
      <c r="A10" t="s">
        <v>61</v>
      </c>
      <c r="B10" s="18">
        <f>B9/(1+Assumptions!B26)^(5-0.5*Assumptions!B32)</f>
        <v>54019537690.449196</v>
      </c>
    </row>
    <row r="11" spans="1:2" x14ac:dyDescent="0.25">
      <c r="A11" t="s">
        <v>62</v>
      </c>
      <c r="B11" s="18">
        <f>Forecast!B17+B10</f>
        <v>64951561037.932304</v>
      </c>
    </row>
    <row r="12" spans="1:2" x14ac:dyDescent="0.25">
      <c r="A12" t="s">
        <v>63</v>
      </c>
      <c r="B12" s="18">
        <f>-Assumptions!B30</f>
        <v>-8557000000</v>
      </c>
    </row>
    <row r="13" spans="1:2" x14ac:dyDescent="0.25">
      <c r="A13" t="s">
        <v>64</v>
      </c>
      <c r="B13" s="18">
        <f>B11+B12</f>
        <v>56394561037.932304</v>
      </c>
    </row>
    <row r="14" spans="1:2" x14ac:dyDescent="0.25">
      <c r="A14" s="19" t="s">
        <v>65</v>
      </c>
      <c r="B14" s="24">
        <f>B13/Assumptions!B31</f>
        <v>67.89617269194835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4021096932.7123423</v>
      </c>
    </row>
    <row r="18" spans="1:2" x14ac:dyDescent="0.25">
      <c r="A18" t="s">
        <v>60</v>
      </c>
      <c r="B18" s="18">
        <f>B17*Assumptions!B13</f>
        <v>25758033926.391632</v>
      </c>
    </row>
    <row r="19" spans="1:2" x14ac:dyDescent="0.25">
      <c r="A19" t="s">
        <v>61</v>
      </c>
      <c r="B19" s="18">
        <f>B18/(1+Assumptions!B26)^(5-0.5*Assumptions!B32)</f>
        <v>20080207495.866863</v>
      </c>
    </row>
    <row r="20" spans="1:2" x14ac:dyDescent="0.25">
      <c r="A20" t="s">
        <v>62</v>
      </c>
      <c r="B20" s="18">
        <f>Forecast!B17+B19</f>
        <v>31012230843.349968</v>
      </c>
    </row>
    <row r="21" spans="1:2" x14ac:dyDescent="0.25">
      <c r="A21" t="s">
        <v>63</v>
      </c>
      <c r="B21" s="18">
        <f>-Assumptions!B30</f>
        <v>-8557000000</v>
      </c>
    </row>
    <row r="22" spans="1:2" x14ac:dyDescent="0.25">
      <c r="A22" t="s">
        <v>64</v>
      </c>
      <c r="B22" s="18">
        <f>B20+B21</f>
        <v>22455230843.349968</v>
      </c>
    </row>
    <row r="23" spans="1:2" x14ac:dyDescent="0.25">
      <c r="A23" s="19" t="s">
        <v>65</v>
      </c>
      <c r="B23" s="25">
        <f>B22/Assumptions!B31</f>
        <v>27.034951653443255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2492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6789.617269194835</v>
      </c>
    </row>
    <row r="29" spans="1:2" x14ac:dyDescent="0.25">
      <c r="A29" s="19" t="s">
        <v>73</v>
      </c>
      <c r="B29" s="12">
        <f>B28/B26-1</f>
        <v>1.7245655173334007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0.036896</v>
      </c>
      <c r="B5" s="31">
        <v>112.59420832123882</v>
      </c>
      <c r="C5" s="31">
        <v>141.10096678447735</v>
      </c>
      <c r="D5" s="31">
        <v>193.50864822076832</v>
      </c>
      <c r="E5" s="31">
        <v>321.8059191898256</v>
      </c>
      <c r="F5" s="31">
        <v>1126.3851019445506</v>
      </c>
    </row>
    <row r="6" spans="1:6" x14ac:dyDescent="0.25">
      <c r="A6" s="30">
        <v>0.046896</v>
      </c>
      <c r="B6" s="31">
        <v>74.90241951377753</v>
      </c>
      <c r="C6" s="31">
        <v>85.96240479695489</v>
      </c>
      <c r="D6" s="31">
        <v>102.04107029190088</v>
      </c>
      <c r="E6" s="31">
        <v>127.59392044798403</v>
      </c>
      <c r="F6" s="31">
        <v>174.56722038936854</v>
      </c>
    </row>
    <row r="7" spans="1:6" x14ac:dyDescent="0.25">
      <c r="A7" s="30">
        <v>0.056896</v>
      </c>
      <c r="B7" s="31">
        <v>55.18910220754464</v>
      </c>
      <c r="C7" s="31">
        <v>60.690515859740486</v>
      </c>
      <c r="D7" s="32">
        <v>67.89537426433394</v>
      </c>
      <c r="E7" s="31">
        <v>77.75369494385497</v>
      </c>
      <c r="F7" s="31">
        <v>92.08324982577493</v>
      </c>
    </row>
    <row r="8" spans="1:6" x14ac:dyDescent="0.25">
      <c r="A8" s="30">
        <v>0.066896</v>
      </c>
      <c r="B8" s="31">
        <v>43.061878577761284</v>
      </c>
      <c r="C8" s="31">
        <v>46.18010159956372</v>
      </c>
      <c r="D8" s="31">
        <v>50.02702010912837</v>
      </c>
      <c r="E8" s="31">
        <v>54.89888389820596</v>
      </c>
      <c r="F8" s="31">
        <v>61.27770259786915</v>
      </c>
    </row>
    <row r="9" spans="1:6" x14ac:dyDescent="0.25">
      <c r="A9" s="30">
        <v>0.076896</v>
      </c>
      <c r="B9" s="31">
        <v>34.84436366196615</v>
      </c>
      <c r="C9" s="31">
        <v>36.75757833270127</v>
      </c>
      <c r="D9" s="31">
        <v>39.02739430883515</v>
      </c>
      <c r="E9" s="31">
        <v>41.76787290862484</v>
      </c>
      <c r="F9" s="31">
        <v>45.14752519171414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32171000000</v>
      </c>
      <c r="C5" s="18">
        <v>32411000000</v>
      </c>
      <c r="D5" s="18">
        <v>32475000000</v>
      </c>
      <c r="E5" s="18">
        <v>32551000000</v>
      </c>
      <c r="F5" s="8" t="s">
        <v>84</v>
      </c>
    </row>
    <row r="6" spans="1:6" x14ac:dyDescent="0.25">
      <c r="A6" t="s">
        <v>44</v>
      </c>
      <c r="B6" s="18">
        <v>3489000000</v>
      </c>
      <c r="C6" s="18">
        <v>3553000000</v>
      </c>
      <c r="D6" s="18">
        <v>3402000000</v>
      </c>
      <c r="E6" s="18">
        <v>3354000000</v>
      </c>
      <c r="F6" s="8" t="s">
        <v>85</v>
      </c>
    </row>
    <row r="7" spans="1:6" x14ac:dyDescent="0.25">
      <c r="A7" t="s">
        <v>86</v>
      </c>
      <c r="B7" s="18">
        <v>781000000</v>
      </c>
      <c r="C7" s="18">
        <v>647000000</v>
      </c>
      <c r="D7" s="18">
        <v>632000000</v>
      </c>
      <c r="E7" s="18">
        <v>660000000</v>
      </c>
      <c r="F7" s="8" t="s">
        <v>87</v>
      </c>
    </row>
    <row r="8" spans="1:6" x14ac:dyDescent="0.25">
      <c r="A8" t="s">
        <v>88</v>
      </c>
      <c r="B8" s="18">
        <v>461000000</v>
      </c>
      <c r="C8" s="18">
        <v>413000000</v>
      </c>
      <c r="D8" s="18">
        <v>183000000</v>
      </c>
      <c r="E8" s="18">
        <v>13000000</v>
      </c>
      <c r="F8" s="8" t="s">
        <v>89</v>
      </c>
    </row>
    <row r="9" spans="1:6" x14ac:dyDescent="0.25">
      <c r="A9" t="s">
        <v>90</v>
      </c>
      <c r="B9" s="18">
        <v>71000000</v>
      </c>
      <c r="C9" s="18">
        <v>-100000000</v>
      </c>
      <c r="D9" s="18">
        <v>347000000</v>
      </c>
      <c r="E9" s="18">
        <v>-40000000</v>
      </c>
      <c r="F9" s="8" t="s">
        <v>91</v>
      </c>
    </row>
    <row r="10" spans="1:6" x14ac:dyDescent="0.25">
      <c r="A10" t="s">
        <v>92</v>
      </c>
      <c r="B10" s="18">
        <v>9996000000</v>
      </c>
      <c r="C10" s="18">
        <v>9083000000</v>
      </c>
      <c r="D10" s="18">
        <v>9730000000</v>
      </c>
      <c r="E10" s="18">
        <v>10255000000</v>
      </c>
      <c r="F10" s="8" t="s">
        <v>93</v>
      </c>
    </row>
    <row r="11" spans="1:6" x14ac:dyDescent="0.25">
      <c r="A11" t="s">
        <v>94</v>
      </c>
      <c r="B11" s="18">
        <v>1439000000</v>
      </c>
      <c r="C11" s="18">
        <v>1078000000</v>
      </c>
      <c r="D11" s="18">
        <v>1345000000</v>
      </c>
      <c r="E11" s="18">
        <v>1850000000</v>
      </c>
      <c r="F11" s="8" t="s">
        <v>95</v>
      </c>
    </row>
    <row r="12" spans="1:6" x14ac:dyDescent="0.25">
      <c r="A12" t="s">
        <v>32</v>
      </c>
      <c r="B12" s="34">
        <v>830600000</v>
      </c>
      <c r="C12" s="34">
        <v>873900000</v>
      </c>
      <c r="D12" s="34">
        <v>928200000</v>
      </c>
      <c r="E12" s="34">
        <v>953000000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2026-09-19T01:05:14Z</dcterms:modified>
</cp:coreProperties>
</file>