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<sst xmlns="http://schemas.openxmlformats.org/spreadsheetml/2006/main" count="113" uniqueCount="101">
  <si>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IMCD N.V. (IMCD.AS)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</si>
  <si>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</si>
  <si>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</si>
  <si>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</si>
  <si>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</si>
  <si>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</si>
  <si>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</si>
  <si>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</si>
  <si>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</si>
  <si>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</si>
  <si>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</si>
  <si>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</si>
  <si>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</si>
  <si>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</si>
  <si>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</si>
  <si>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</si>
  <si>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</si>
  <si>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</si>
  <si>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</si>
  <si>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</si>
  <si>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</si>
  <si>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</si>
  <si>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</si>
  <si>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</si>
  <si>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</si>
  <si>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</si>
  <si>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</si>
  <si>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</si>
  <si>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</si>
  <si>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</si>
  <si>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</si>
  <si>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</si>
  <si>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</si>
  <si>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</si>
  <si>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</si>
  <si>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</si>
  <si>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</si>
  <si>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</si>
  <si>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</si>
  <si>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</si>
  <si>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</si>
  <si>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</si>
  <si>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</si>
  <si>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</si>
  <si>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</si>
  <si>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</si>
  <si>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</si>
  <si>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</si>
  <si>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</si>
  <si>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</si>
  <si>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</si>
  <si>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</si>
  <si>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</si>
  <si>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</si>
  <si>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</si>
  <si>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</si>
  <si>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</si>
  <si>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</si>
  <si>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</si>
  <si>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</si>
  <si>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</si>
  <si>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</si>
  <si>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</si>
  <si>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</si>
  <si>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</si>
  <si>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</si>
  <si>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</si>
  <si>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</si>
  <si>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</si>
  <si>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</si>
  <si>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</si>
  <si>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</si>
  <si>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</si>
  <si>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</si>
  <si>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</si>
  <si>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</si>
  <si>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</si>
  <si>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</si>
  <si>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</si>
  <si>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</si>
  <si>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</si>
  <si>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</si>
  <si>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</si>
  <si>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</si>
  <si>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</si>
  <si>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</si>
  <si>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</si>
  <si>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</si>
  <si>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</si>
  <si>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</si>
  <si>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</si>
  <si>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</si>
  <si>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</si>
  <si>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</si>
  <si>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</si>
  <si>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</si>
  <si>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</si>
  <si>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</si>
  <si>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Reported capital expenditure averages just 0.57%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</si>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</sst>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0.012687862451135068</v>
      </c>
    </row>
    <row r="7" spans="1:2" x14ac:dyDescent="0.25">
      <c r="A7" t="s">
        <v>5</v>
      </c>
      <c r="B7" s="6">
        <v>0.09110138450300312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0.027184890701822742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0.29916479505895566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13.598880752751539</v>
      </c>
    </row>
    <row r="14" spans="1:3" x14ac:dyDescent="0.25">
      <c r="A14" t="s">
        <v>12</v>
      </c>
      <c r="B14" s="6">
        <v>0.09872121995285002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0.9778899999999999</v>
      </c>
      <c r="C19" s="8" t="s">
        <v>19</v>
      </c>
    </row>
    <row r="20" spans="1:2" x14ac:dyDescent="0.25">
      <c r="A20" t="s">
        <v>20</v>
      </c>
      <c r="B20" s="10">
        <f>B17+B19*B18</f>
        <v>0.10556285000000001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5508894720</v>
      </c>
    </row>
    <row r="23" spans="1:2" x14ac:dyDescent="0.25">
      <c r="A23" t="s">
        <v>24</v>
      </c>
      <c r="B23" s="11">
        <v>1719288000</v>
      </c>
    </row>
    <row r="24" spans="1:2" x14ac:dyDescent="0.25">
      <c r="A24" t="s">
        <v>25</v>
      </c>
      <c r="B24" s="10">
        <f>B22/(B22+B23)</f>
        <v>0.7621410433852452</v>
      </c>
    </row>
    <row r="25" spans="1:2" x14ac:dyDescent="0.25">
      <c r="A25" t="s">
        <v>26</v>
      </c>
      <c r="B25" s="10">
        <f>1-B24</f>
        <v>0.23785895661475476</v>
      </c>
    </row>
    <row r="26" spans="1:2" x14ac:dyDescent="0.25">
      <c r="A26" t="s">
        <v>27</v>
      </c>
      <c r="B26" s="12">
        <f>B24*B20+B25*B21*(1-B8)</f>
        <v>0.08794633777508493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4778874000</v>
      </c>
      <c r="C29" s="8" t="s">
        <v>30</v>
      </c>
    </row>
    <row r="30" spans="1:2" x14ac:dyDescent="0.25">
      <c r="A30" t="s">
        <v>31</v>
      </c>
      <c r="B30" s="11">
        <v>1483201000</v>
      </c>
    </row>
    <row r="31" spans="1:2" x14ac:dyDescent="0.25">
      <c r="A31" t="s">
        <v>32</v>
      </c>
      <c r="B31" s="13">
        <v>59032832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0.012687862451135068</v>
      </c>
      <c r="C5" s="10">
        <f>Assumptions!B6</f>
        <v>0.012687862451135068</v>
      </c>
      <c r="D5" s="10">
        <f>Assumptions!B6</f>
        <v>0.012687862451135068</v>
      </c>
      <c r="E5" s="10">
        <f>Assumptions!B6</f>
        <v>0.012687862451135068</v>
      </c>
      <c r="F5" s="10">
        <f>Assumptions!B6</f>
        <v>0.012687862451135068</v>
      </c>
    </row>
    <row r="6" spans="1:6" x14ac:dyDescent="0.25">
      <c r="A6" t="s">
        <v>43</v>
      </c>
      <c r="B6" s="18">
        <f>Assumptions!B29*(1+B5)</f>
        <v>4839507695.983306</v>
      </c>
      <c r="C6" s="18">
        <f>B6*(1+C5)</f>
        <v>4900910703.961152</v>
      </c>
      <c r="D6" s="18">
        <f>C6*(1+D5)</f>
        <v>4963092784.858307</v>
      </c>
      <c r="E6" s="18">
        <f>D6*(1+E5)</f>
        <v>5026063823.44481</v>
      </c>
      <c r="F6" s="18">
        <f>E6*(1+F5)</f>
        <v>5089833829.907304</v>
      </c>
    </row>
    <row r="7" spans="1:6" x14ac:dyDescent="0.25">
      <c r="A7" t="s">
        <v>5</v>
      </c>
      <c r="B7" s="10">
        <f>Assumptions!B7</f>
        <v>0.09110138450300312</v>
      </c>
      <c r="C7" s="10">
        <f>Assumptions!B7</f>
        <v>0.09110138450300312</v>
      </c>
      <c r="D7" s="10">
        <f>Assumptions!B7</f>
        <v>0.09110138450300312</v>
      </c>
      <c r="E7" s="10">
        <f>Assumptions!B7</f>
        <v>0.09110138450300312</v>
      </c>
      <c r="F7" s="10">
        <f>Assumptions!B7</f>
        <v>0.09110138450300312</v>
      </c>
    </row>
    <row r="8" spans="1:6" x14ac:dyDescent="0.25">
      <c r="A8" t="s">
        <v>44</v>
      </c>
      <c r="B8" s="18">
        <f>B6*B7</f>
        <v>440885851.4170179</v>
      </c>
      <c r="C8" s="18">
        <f>C6*C7</f>
        <v>446479750.4564486</v>
      </c>
      <c r="D8" s="18">
        <f>D6*D7</f>
        <v>452144624.11745715</v>
      </c>
      <c r="E8" s="18">
        <f>E6*E7</f>
        <v>457881372.9162796</v>
      </c>
      <c r="F8" s="18">
        <f>F6*F7</f>
        <v>463690908.7947783</v>
      </c>
    </row>
    <row r="9" spans="1:6" x14ac:dyDescent="0.25">
      <c r="A9" t="s">
        <v>45</v>
      </c>
      <c r="B9" s="18">
        <f>B8*(1-Assumptions!B8)</f>
        <v>330664388.5627634</v>
      </c>
      <c r="C9" s="18">
        <f>C8*(1-Assumptions!B8)</f>
        <v>334859812.8423365</v>
      </c>
      <c r="D9" s="18">
        <f>D8*(1-Assumptions!B8)</f>
        <v>339108468.08809286</v>
      </c>
      <c r="E9" s="18">
        <f>E8*(1-Assumptions!B8)</f>
        <v>343411029.6872097</v>
      </c>
      <c r="F9" s="18">
        <f>F8*(1-Assumptions!B8)</f>
        <v>347768181.5960837</v>
      </c>
    </row>
    <row r="10" spans="1:6" x14ac:dyDescent="0.25">
      <c r="A10" t="s">
        <v>46</v>
      </c>
      <c r="B10" s="18">
        <f>B6*Assumptions!B9</f>
        <v>131561487.76593618</v>
      </c>
      <c r="C10" s="18">
        <f>C6*Assumptions!B9</f>
        <v>133230721.82657707</v>
      </c>
      <c r="D10" s="18">
        <f>D6*Assumptions!B9</f>
        <v>134921134.89937812</v>
      </c>
      <c r="E10" s="18">
        <f>E6*Assumptions!B9</f>
        <v>136632995.70073247</v>
      </c>
      <c r="F10" s="18">
        <f>F6*Assumptions!B9</f>
        <v>138366576.3564699</v>
      </c>
    </row>
    <row r="11" spans="1:6" x14ac:dyDescent="0.25">
      <c r="A11" t="s">
        <v>47</v>
      </c>
      <c r="B11" s="18">
        <f>-B6*Assumptions!B10</f>
        <v>-48395076.95983306</v>
      </c>
      <c r="C11" s="18">
        <f>-C6*Assumptions!B10</f>
        <v>-49009107.03961152</v>
      </c>
      <c r="D11" s="18">
        <f>-D6*Assumptions!B10</f>
        <v>-49630927.84858307</v>
      </c>
      <c r="E11" s="18">
        <f>-E6*Assumptions!B10</f>
        <v>-50260638.2344481</v>
      </c>
      <c r="F11" s="18">
        <f>-F6*Assumptions!B10</f>
        <v>-50898338.29907304</v>
      </c>
    </row>
    <row r="12" spans="1:6" x14ac:dyDescent="0.25">
      <c r="A12" t="s">
        <v>48</v>
      </c>
      <c r="B12" s="18">
        <f>-(B6-Assumptions!B29)*Assumptions!B11</f>
        <v>-18139467.232512742</v>
      </c>
      <c r="C12" s="18">
        <f>-(C6-B6)*Assumptions!B11</f>
        <v>-18369618.29769576</v>
      </c>
      <c r="D12" s="18">
        <f>-(D6-C6)*Assumptions!B11</f>
        <v>-18602689.48793672</v>
      </c>
      <c r="E12" s="18">
        <f>-(E6-D6)*Assumptions!B11</f>
        <v>-18838717.853380766</v>
      </c>
      <c r="F12" s="18">
        <f>-(F6-E6)*Assumptions!B11</f>
        <v>-19077740.914260264</v>
      </c>
    </row>
    <row r="13" spans="1:6" x14ac:dyDescent="0.25">
      <c r="A13" s="19" t="s">
        <v>49</v>
      </c>
      <c r="B13" s="20">
        <f>B9+B10+B11+B12</f>
        <v>395691332.13635373</v>
      </c>
      <c r="C13" s="20">
        <f>C9+C10+C11+C12</f>
        <v>400711809.33160627</v>
      </c>
      <c r="D13" s="20">
        <f>D9+D10+D11+D12</f>
        <v>405795985.65095115</v>
      </c>
      <c r="E13" s="20">
        <f>E9+E10+E11+E12</f>
        <v>410944669.3001134</v>
      </c>
      <c r="F13" s="20">
        <f>F9+F10+F11+F12</f>
        <v>416158678.7392203</v>
      </c>
    </row>
    <row r="14" spans="1:6" x14ac:dyDescent="0.25">
      <c r="A14" t="s">
        <v>50</v>
      </c>
      <c r="B14" s="21">
        <f>1/(1+Assumptions!$B$26)^(1-0.5*Assumptions!$B$32)</f>
        <v>0.9587298795393682</v>
      </c>
      <c r="C14" s="21">
        <f>1/(1+Assumptions!$B$26)^(2-0.5*Assumptions!$B$32)</f>
        <v>0.8812290149347145</v>
      </c>
      <c r="D14" s="21">
        <f>1/(1+Assumptions!$B$26)^(3-0.5*Assumptions!$B$32)</f>
        <v>0.809993089123201</v>
      </c>
      <c r="E14" s="21">
        <f>1/(1+Assumptions!$B$26)^(4-0.5*Assumptions!$B$32)</f>
        <v>0.7445156631343465</v>
      </c>
      <c r="F14" s="21">
        <f>1/(1+Assumptions!$B$26)^(5-0.5*Assumptions!$B$32)</f>
        <v>0.6843312370138819</v>
      </c>
    </row>
    <row r="15" spans="1:6" x14ac:dyDescent="0.25">
      <c r="A15" s="19" t="s">
        <v>51</v>
      </c>
      <c r="B15" s="20">
        <f>B13*B14</f>
        <v>379361103.1938585</v>
      </c>
      <c r="C15" s="20">
        <f>C13*C14</f>
        <v>353118873.00999856</v>
      </c>
      <c r="D15" s="20">
        <f>D13*D14</f>
        <v>328691943.9712081</v>
      </c>
      <c r="E15" s="20">
        <f>E13*E14</f>
        <v>305954742.9754986</v>
      </c>
      <c r="F15" s="20">
        <f>F13*F14</f>
        <v>284790383.4156733</v>
      </c>
    </row>
    <row r="17" spans="1:2" x14ac:dyDescent="0.25">
      <c r="A17" s="22" t="s">
        <v>52</v>
      </c>
      <c r="B17" s="23">
        <f>SUM(B15:F15)</f>
        <v>1651917046.566237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416158678.7392203</v>
      </c>
    </row>
    <row r="5" spans="1:2" x14ac:dyDescent="0.25">
      <c r="A5" t="s">
        <v>56</v>
      </c>
      <c r="B5" s="18">
        <f>IF(Assumptions!$B$33=0,B4,B4-Forecast!F11-Forecast!F10-Forecast!F12)</f>
        <v>421540089.9062766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0.25323836164038677</v>
      </c>
    </row>
    <row r="7" spans="1:2" x14ac:dyDescent="0.25">
      <c r="A7" t="s">
        <v>58</v>
      </c>
      <c r="B7" s="18">
        <f>-MAX(Forecast!F9,0)*B6</f>
        <v>-106750121.73360682</v>
      </c>
    </row>
    <row r="8" spans="1:2" x14ac:dyDescent="0.25">
      <c r="A8" t="s">
        <v>59</v>
      </c>
      <c r="B8" s="18">
        <f>IF(OR(Assumptions!$B$33=0,Assumptions!B12&lt;=0),B5,MAX(B5+B7,0))</f>
        <v>314789968.17266977</v>
      </c>
    </row>
    <row r="9" spans="1:2" x14ac:dyDescent="0.25">
      <c r="A9" t="s">
        <v>60</v>
      </c>
      <c r="B9" s="18">
        <f>B8*(1+Assumptions!B12)/(Assumptions!B26-Assumptions!B12)</f>
        <v>5125949003.258771</v>
      </c>
    </row>
    <row r="10" spans="1:2" x14ac:dyDescent="0.25">
      <c r="A10" t="s">
        <v>61</v>
      </c>
      <c r="B10" s="18">
        <f>B9/(1+Assumptions!B26)^(5-0.5*Assumptions!B32)</f>
        <v>3507847022.2701497</v>
      </c>
    </row>
    <row r="11" spans="1:2" x14ac:dyDescent="0.25">
      <c r="A11" t="s">
        <v>62</v>
      </c>
      <c r="B11" s="18">
        <f>Forecast!B17+B10</f>
        <v>5159764068.836387</v>
      </c>
    </row>
    <row r="12" spans="1:2" x14ac:dyDescent="0.25">
      <c r="A12" t="s">
        <v>63</v>
      </c>
      <c r="B12" s="18">
        <f>-Assumptions!B30</f>
        <v>-1483201000</v>
      </c>
    </row>
    <row r="13" spans="1:2" x14ac:dyDescent="0.25">
      <c r="A13" t="s">
        <v>64</v>
      </c>
      <c r="B13" s="18">
        <f>B11+B12</f>
        <v>3676563068.8363867</v>
      </c>
    </row>
    <row r="14" spans="1:2" x14ac:dyDescent="0.25">
      <c r="A14" s="19" t="s">
        <v>65</v>
      </c>
      <c r="B14" s="24">
        <f>B13/Assumptions!B31</f>
        <v>62.27997106485399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602057485.1512482</v>
      </c>
    </row>
    <row r="18" spans="1:2" x14ac:dyDescent="0.25">
      <c r="A18" t="s">
        <v>60</v>
      </c>
      <c r="B18" s="18">
        <f>B17*Assumptions!B13</f>
        <v>8187307946.873304</v>
      </c>
    </row>
    <row r="19" spans="1:2" x14ac:dyDescent="0.25">
      <c r="A19" t="s">
        <v>61</v>
      </c>
      <c r="B19" s="18">
        <f>B18/(1+Assumptions!B26)^(5-0.5*Assumptions!B32)</f>
        <v>5602830575.097394</v>
      </c>
    </row>
    <row r="20" spans="1:2" x14ac:dyDescent="0.25">
      <c r="A20" t="s">
        <v>62</v>
      </c>
      <c r="B20" s="18">
        <f>Forecast!B17+B19</f>
        <v>7254747621.663631</v>
      </c>
    </row>
    <row r="21" spans="1:2" x14ac:dyDescent="0.25">
      <c r="A21" t="s">
        <v>63</v>
      </c>
      <c r="B21" s="18">
        <f>-Assumptions!B30</f>
        <v>-1483201000</v>
      </c>
    </row>
    <row r="22" spans="1:2" x14ac:dyDescent="0.25">
      <c r="A22" t="s">
        <v>64</v>
      </c>
      <c r="B22" s="18">
        <f>B20+B21</f>
        <v>5771546621.663631</v>
      </c>
    </row>
    <row r="23" spans="1:2" x14ac:dyDescent="0.25">
      <c r="A23" s="19" t="s">
        <v>65</v>
      </c>
      <c r="B23" s="25">
        <f>B22/Assumptions!B31</f>
        <v>97.76841845676033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62.27997106485399</v>
      </c>
    </row>
    <row r="29" spans="1:2" x14ac:dyDescent="0.25">
      <c r="A29" s="19" t="s">
        <v>73</v>
      </c>
      <c r="B29" s="12">
        <f>B28/B26-1</f>
        <v>-0.33247619437455533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0.067946</v>
      </c>
      <c r="B5" s="31">
        <v>90.48265674628549</v>
      </c>
      <c r="C5" s="31">
        <v>94.23506268311928</v>
      </c>
      <c r="D5" s="31">
        <v>98.79856999709801</v>
      </c>
      <c r="E5" s="31">
        <v>104.49380591262403</v>
      </c>
      <c r="F5" s="31">
        <v>111.83603568263285</v>
      </c>
    </row>
    <row r="6" spans="1:6" x14ac:dyDescent="0.25">
      <c r="A6" s="30">
        <v>0.077946</v>
      </c>
      <c r="B6" s="31">
        <v>73.13587135177711</v>
      </c>
      <c r="C6" s="31">
        <v>74.97792187332176</v>
      </c>
      <c r="D6" s="31">
        <v>77.1191548443175</v>
      </c>
      <c r="E6" s="31">
        <v>79.65317008001006</v>
      </c>
      <c r="F6" s="31">
        <v>82.71715693378383</v>
      </c>
    </row>
    <row r="7" spans="1:6" x14ac:dyDescent="0.25">
      <c r="A7" s="30">
        <v>0.087946</v>
      </c>
      <c r="B7" s="31">
        <v>60.521634530484285</v>
      </c>
      <c r="C7" s="31">
        <v>61.35451518320488</v>
      </c>
      <c r="D7" s="32">
        <v>62.28039342649258</v>
      </c>
      <c r="E7" s="31">
        <v>63.323342774628046</v>
      </c>
      <c r="F7" s="31">
        <v>64.51653035209124</v>
      </c>
    </row>
    <row r="8" spans="1:6" x14ac:dyDescent="0.25">
      <c r="A8" s="30">
        <v>0.097946</v>
      </c>
      <c r="B8" s="31">
        <v>50.92939166061179</v>
      </c>
      <c r="C8" s="31">
        <v>51.19817477343782</v>
      </c>
      <c r="D8" s="31">
        <v>51.47124441266309</v>
      </c>
      <c r="E8" s="31">
        <v>51.74954688706204</v>
      </c>
      <c r="F8" s="31">
        <v>52.03432917861296</v>
      </c>
    </row>
    <row r="9" spans="1:6" x14ac:dyDescent="0.25">
      <c r="A9" s="30">
        <v>0.107946</v>
      </c>
      <c r="B9" s="31">
        <v>44.023049505695234</v>
      </c>
      <c r="C9" s="31">
        <v>44.231582626828015</v>
      </c>
      <c r="D9" s="31">
        <v>44.440115747960796</v>
      </c>
      <c r="E9" s="31">
        <v>44.648648869093556</v>
      </c>
      <c r="F9" s="31">
        <v>44.85718199022632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4778874000</v>
      </c>
      <c r="C5" s="18">
        <v>4727602000</v>
      </c>
      <c r="D5" s="18">
        <v>4442642000</v>
      </c>
      <c r="E5" s="18">
        <v>4601493000</v>
      </c>
      <c r="F5" s="8" t="s">
        <v>84</v>
      </c>
    </row>
    <row r="6" spans="1:6" x14ac:dyDescent="0.25">
      <c r="A6" t="s">
        <v>44</v>
      </c>
      <c r="B6" s="18">
        <v>371249000</v>
      </c>
      <c r="C6" s="18">
        <v>425109000</v>
      </c>
      <c r="D6" s="18">
        <v>428523000</v>
      </c>
      <c r="E6" s="18">
        <v>461726000</v>
      </c>
      <c r="F6" s="8" t="s">
        <v>85</v>
      </c>
    </row>
    <row r="7" spans="1:6" x14ac:dyDescent="0.25">
      <c r="A7" t="s">
        <v>86</v>
      </c>
      <c r="B7" s="18">
        <v>142918000</v>
      </c>
      <c r="C7" s="18">
        <v>136608000</v>
      </c>
      <c r="D7" s="18">
        <v>114223000</v>
      </c>
      <c r="E7" s="18">
        <v>111480000</v>
      </c>
      <c r="F7" s="8" t="s">
        <v>87</v>
      </c>
    </row>
    <row r="8" spans="1:6" x14ac:dyDescent="0.25">
      <c r="A8" t="s">
        <v>88</v>
      </c>
      <c r="B8" s="18">
        <v>20300000</v>
      </c>
      <c r="C8" s="18">
        <v>26452000</v>
      </c>
      <c r="D8" s="18">
        <v>37473000</v>
      </c>
      <c r="E8" s="18">
        <v>21259000</v>
      </c>
      <c r="F8" s="8" t="s">
        <v>89</v>
      </c>
    </row>
    <row r="9" spans="1:6" x14ac:dyDescent="0.25">
      <c r="A9" t="s">
        <v>90</v>
      </c>
      <c r="B9" s="18">
        <v>35457000</v>
      </c>
      <c r="C9" s="18">
        <v>85250000</v>
      </c>
      <c r="D9" s="18">
        <v>-36771000</v>
      </c>
      <c r="E9" s="18">
        <v>128322000</v>
      </c>
      <c r="F9" s="8" t="s">
        <v>91</v>
      </c>
    </row>
    <row r="10" spans="1:6" x14ac:dyDescent="0.25">
      <c r="A10" t="s">
        <v>92</v>
      </c>
      <c r="B10" s="18">
        <v>1719288000</v>
      </c>
      <c r="C10" s="18">
        <v>1695652000</v>
      </c>
      <c r="D10" s="18">
        <v>1192742000</v>
      </c>
      <c r="E10" s="18">
        <v>972917000</v>
      </c>
      <c r="F10" s="8" t="s">
        <v>93</v>
      </c>
    </row>
    <row r="11" spans="1:6" x14ac:dyDescent="0.25">
      <c r="A11" t="s">
        <v>94</v>
      </c>
      <c r="B11" s="18">
        <v>236087000</v>
      </c>
      <c r="C11" s="18">
        <v>522780000</v>
      </c>
      <c r="D11" s="18">
        <v>394462000</v>
      </c>
      <c r="E11" s="18">
        <v>222005000</v>
      </c>
      <c r="F11" s="8" t="s">
        <v>95</v>
      </c>
    </row>
    <row r="12" spans="1:6" x14ac:dyDescent="0.25">
      <c r="A12" t="s">
        <v>32</v>
      </c>
      <c r="B12" s="34">
        <v>59032832</v>
      </c>
      <c r="C12" s="34">
        <v>57268000</v>
      </c>
      <c r="D12" s="34">
        <v>56996000</v>
      </c>
      <c r="E12" s="34">
        <v>56929000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