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<sst xmlns="http://schemas.openxmlformats.org/spreadsheetml/2006/main" count="112" uniqueCount="100">
  <si>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Imdex Limited (IMD.AX)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</si>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</sst>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0.08127873603006219</v>
      </c>
    </row>
    <row r="7" spans="1:2" x14ac:dyDescent="0.25">
      <c r="A7" t="s">
        <v>5</v>
      </c>
      <c r="B7" s="6">
        <v>0.1499657477657433</v>
      </c>
    </row>
    <row r="8" spans="1:2" x14ac:dyDescent="0.25">
      <c r="A8" t="s">
        <v>6</v>
      </c>
      <c r="B8" s="6">
        <v>0.28880618014477105</v>
      </c>
    </row>
    <row r="9" spans="1:2" x14ac:dyDescent="0.25">
      <c r="A9" t="s">
        <v>7</v>
      </c>
      <c r="B9" s="6">
        <v>0.12476680358539259</v>
      </c>
    </row>
    <row r="10" spans="1:2" x14ac:dyDescent="0.25">
      <c r="A10" t="s">
        <v>8</v>
      </c>
      <c r="B10" s="6">
        <v>0.10190493608250142</v>
      </c>
    </row>
    <row r="11" spans="1:2" x14ac:dyDescent="0.25">
      <c r="A11" t="s">
        <v>9</v>
      </c>
      <c r="B11" s="6">
        <v>0.1768281886324736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13.308570204856762</v>
      </c>
    </row>
    <row r="14" spans="1:3" x14ac:dyDescent="0.25">
      <c r="A14" t="s">
        <v>12</v>
      </c>
      <c r="B14" s="6">
        <v>0.10939792436455036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1.1206</v>
      </c>
      <c r="C19" s="8" t="s">
        <v>19</v>
      </c>
    </row>
    <row r="20" spans="1:2" x14ac:dyDescent="0.25">
      <c r="A20" t="s">
        <v>20</v>
      </c>
      <c r="B20" s="10">
        <f>B17+B19*B18</f>
        <v>0.120716</v>
      </c>
    </row>
    <row r="21" spans="1:3" x14ac:dyDescent="0.25">
      <c r="A21" t="s">
        <v>21</v>
      </c>
      <c r="B21" s="6">
        <v>0.056899159532831235</v>
      </c>
      <c r="C21" s="8" t="s">
        <v>22</v>
      </c>
    </row>
    <row r="22" spans="1:2" x14ac:dyDescent="0.25">
      <c r="A22" t="s">
        <v>23</v>
      </c>
      <c r="B22" s="11">
        <v>1732541824</v>
      </c>
    </row>
    <row r="23" spans="1:2" x14ac:dyDescent="0.25">
      <c r="A23" t="s">
        <v>24</v>
      </c>
      <c r="B23" s="11">
        <v>284471000</v>
      </c>
    </row>
    <row r="24" spans="1:2" x14ac:dyDescent="0.25">
      <c r="A24" t="s">
        <v>25</v>
      </c>
      <c r="B24" s="10">
        <f>B22/(B22+B23)</f>
        <v>0.8589642085488297</v>
      </c>
    </row>
    <row r="25" spans="1:2" x14ac:dyDescent="0.25">
      <c r="A25" t="s">
        <v>26</v>
      </c>
      <c r="B25" s="10">
        <f>1-B24</f>
        <v>0.1410357914511703</v>
      </c>
    </row>
    <row r="26" spans="1:2" x14ac:dyDescent="0.25">
      <c r="A26" t="s">
        <v>27</v>
      </c>
      <c r="B26" s="12">
        <f>B24*B20+B25*B21*(1-B8)</f>
        <v>0.10939792436455036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520086000</v>
      </c>
      <c r="C29" s="8" t="s">
        <v>30</v>
      </c>
    </row>
    <row r="30" spans="1:2" x14ac:dyDescent="0.25">
      <c r="A30" t="s">
        <v>31</v>
      </c>
      <c r="B30" s="11">
        <v>243701000</v>
      </c>
    </row>
    <row r="31" spans="1:2" x14ac:dyDescent="0.25">
      <c r="A31" t="s">
        <v>32</v>
      </c>
      <c r="B31" s="13">
        <v>511841821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0.08127873603006219</v>
      </c>
      <c r="C5" s="10">
        <f>Assumptions!B6</f>
        <v>0.08127873603006219</v>
      </c>
      <c r="D5" s="10">
        <f>Assumptions!B6</f>
        <v>0.08127873603006219</v>
      </c>
      <c r="E5" s="10">
        <f>Assumptions!B6</f>
        <v>0.08127873603006219</v>
      </c>
      <c r="F5" s="10">
        <f>Assumptions!B6</f>
        <v>0.08127873603006219</v>
      </c>
    </row>
    <row r="6" spans="1:6" x14ac:dyDescent="0.25">
      <c r="A6" t="s">
        <v>43</v>
      </c>
      <c r="B6" s="18">
        <f>Assumptions!B29*(1+B5)</f>
        <v>562357932.7069309</v>
      </c>
      <c r="C6" s="18">
        <f>B6*(1+C5)</f>
        <v>608065674.673829</v>
      </c>
      <c r="D6" s="18">
        <f>C6*(1+D5)</f>
        <v>657488484.1345848</v>
      </c>
      <c r="E6" s="18">
        <f>D6*(1+E5)</f>
        <v>710928317.0793655</v>
      </c>
      <c r="F6" s="18">
        <f>E6*(1+F5)</f>
        <v>768711672.0995556</v>
      </c>
    </row>
    <row r="7" spans="1:6" x14ac:dyDescent="0.25">
      <c r="A7" t="s">
        <v>5</v>
      </c>
      <c r="B7" s="10">
        <f>Assumptions!B7</f>
        <v>0.1499657477657433</v>
      </c>
      <c r="C7" s="10">
        <f>Assumptions!B7</f>
        <v>0.1499657477657433</v>
      </c>
      <c r="D7" s="10">
        <f>Assumptions!B7</f>
        <v>0.1499657477657433</v>
      </c>
      <c r="E7" s="10">
        <f>Assumptions!B7</f>
        <v>0.1499657477657433</v>
      </c>
      <c r="F7" s="10">
        <f>Assumptions!B7</f>
        <v>0.1499657477657433</v>
      </c>
    </row>
    <row r="8" spans="1:6" x14ac:dyDescent="0.25">
      <c r="A8" t="s">
        <v>44</v>
      </c>
      <c r="B8" s="18">
        <f>B6*B7</f>
        <v>84334427.89039245</v>
      </c>
      <c r="C8" s="18">
        <f>C6*C7</f>
        <v>91189023.59314196</v>
      </c>
      <c r="D8" s="18">
        <f>D6*D7</f>
        <v>98600752.17060806</v>
      </c>
      <c r="E8" s="18">
        <f>E6*E7</f>
        <v>106614896.6786485</v>
      </c>
      <c r="F8" s="18">
        <f>F6*F7</f>
        <v>115280420.72266474</v>
      </c>
    </row>
    <row r="9" spans="1:6" x14ac:dyDescent="0.25">
      <c r="A9" t="s">
        <v>45</v>
      </c>
      <c r="B9" s="18">
        <f>B8*(1-Assumptions!B8)</f>
        <v>59978123.91667357</v>
      </c>
      <c r="C9" s="18">
        <f>C8*(1-Assumptions!B8)</f>
        <v>64853070.01807523</v>
      </c>
      <c r="D9" s="18">
        <f>D8*(1-Assumptions!B8)</f>
        <v>70124245.5768135</v>
      </c>
      <c r="E9" s="18">
        <f>E8*(1-Assumptions!B8)</f>
        <v>75823855.62235859</v>
      </c>
      <c r="F9" s="18">
        <f>F8*(1-Assumptions!B8)</f>
        <v>81986722.76826984</v>
      </c>
    </row>
    <row r="10" spans="1:6" x14ac:dyDescent="0.25">
      <c r="A10" t="s">
        <v>46</v>
      </c>
      <c r="B10" s="18">
        <f>B6*Assumptions!B9</f>
        <v>70163601.73473307</v>
      </c>
      <c r="C10" s="18">
        <f>C6*Assumptions!B9</f>
        <v>75866410.59904885</v>
      </c>
      <c r="D10" s="18">
        <f>D6*Assumptions!B9</f>
        <v>82032736.55967726</v>
      </c>
      <c r="E10" s="18">
        <f>E6*Assumptions!B9</f>
        <v>88700253.7003349</v>
      </c>
      <c r="F10" s="18">
        <f>F6*Assumptions!B9</f>
        <v>95909698.20664397</v>
      </c>
    </row>
    <row r="11" spans="1:6" x14ac:dyDescent="0.25">
      <c r="A11" t="s">
        <v>47</v>
      </c>
      <c r="B11" s="18">
        <f>-B6*Assumptions!B10</f>
        <v>-57307049.187987424</v>
      </c>
      <c r="C11" s="18">
        <f>-C6*Assumptions!B10</f>
        <v>-61964893.71159965</v>
      </c>
      <c r="D11" s="18">
        <f>-D6*Assumptions!B10</f>
        <v>-67001321.95071562</v>
      </c>
      <c r="E11" s="18">
        <f>-E6*Assumptions!B10</f>
        <v>-72447104.71121305</v>
      </c>
      <c r="F11" s="18">
        <f>-F6*Assumptions!B10</f>
        <v>-78335513.81117801</v>
      </c>
    </row>
    <row r="12" spans="1:6" x14ac:dyDescent="0.25">
      <c r="A12" t="s">
        <v>48</v>
      </c>
      <c r="B12" s="18">
        <f>-(B6-Assumptions!B29)*Assumptions!B11</f>
        <v>-7474869.290560403</v>
      </c>
      <c r="C12" s="18">
        <f>-(C6-B6)*Assumptions!B11</f>
        <v>-8082417.218487084</v>
      </c>
      <c r="D12" s="18">
        <f>-(D6-C6)*Assumptions!B11</f>
        <v>-8739345.874073332</v>
      </c>
      <c r="E12" s="18">
        <f>-(E6-D6)*Assumptions!B11</f>
        <v>-9449668.86044756</v>
      </c>
      <c r="F12" s="18">
        <f>-(F6-E6)*Assumptions!B11</f>
        <v>-10217726.00132737</v>
      </c>
    </row>
    <row r="13" spans="1:6" x14ac:dyDescent="0.25">
      <c r="A13" s="19" t="s">
        <v>49</v>
      </c>
      <c r="B13" s="20">
        <f>B9+B10+B11+B12</f>
        <v>65359807.17285883</v>
      </c>
      <c r="C13" s="20">
        <f>C9+C10+C11+C12</f>
        <v>70672169.68703735</v>
      </c>
      <c r="D13" s="20">
        <f>D9+D10+D11+D12</f>
        <v>76416314.31170182</v>
      </c>
      <c r="E13" s="20">
        <f>E9+E10+E11+E12</f>
        <v>82627335.75103289</v>
      </c>
      <c r="F13" s="20">
        <f>F9+F10+F11+F12</f>
        <v>89343181.16240843</v>
      </c>
    </row>
    <row r="14" spans="1:6" x14ac:dyDescent="0.25">
      <c r="A14" t="s">
        <v>50</v>
      </c>
      <c r="B14" s="21">
        <f>1/(1+Assumptions!$B$26)^(1-0.5*Assumptions!$B$32)</f>
        <v>0.9494155171421302</v>
      </c>
      <c r="C14" s="21">
        <f>1/(1+Assumptions!$B$26)^(2-0.5*Assumptions!$B$32)</f>
        <v>0.8557934860802484</v>
      </c>
      <c r="D14" s="21">
        <f>1/(1+Assumptions!$B$26)^(3-0.5*Assumptions!$B$32)</f>
        <v>0.7714035399610437</v>
      </c>
      <c r="E14" s="21">
        <f>1/(1+Assumptions!$B$26)^(4-0.5*Assumptions!$B$32)</f>
        <v>0.6953353012652282</v>
      </c>
      <c r="F14" s="21">
        <f>1/(1+Assumptions!$B$26)^(5-0.5*Assumptions!$B$32)</f>
        <v>0.6267681649607447</v>
      </c>
    </row>
    <row r="15" spans="1:6" x14ac:dyDescent="0.25">
      <c r="A15" s="19" t="s">
        <v>51</v>
      </c>
      <c r="B15" s="20">
        <f>B13*B14</f>
        <v>62053615.12732968</v>
      </c>
      <c r="C15" s="20">
        <f>C13*C14</f>
        <v>60480782.46532455</v>
      </c>
      <c r="D15" s="20">
        <f>D13*D14</f>
        <v>58947815.37082255</v>
      </c>
      <c r="E15" s="20">
        <f>E13*E14</f>
        <v>57453703.39718762</v>
      </c>
      <c r="F15" s="20">
        <f>F13*F14</f>
        <v>55997461.7089181</v>
      </c>
    </row>
    <row r="17" spans="1:2" x14ac:dyDescent="0.25">
      <c r="A17" s="22" t="s">
        <v>52</v>
      </c>
      <c r="B17" s="23">
        <f>SUM(B15:F15)</f>
        <v>294933378.0695825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89343181.16240843</v>
      </c>
    </row>
    <row r="5" spans="1:2" x14ac:dyDescent="0.25">
      <c r="A5" t="s">
        <v>56</v>
      </c>
      <c r="B5" s="18">
        <f>IF(Assumptions!$B$33=0,B4,B4-Forecast!F11-Forecast!F10-Forecast!F12)</f>
        <v>81986722.76826984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0.22852353136693587</v>
      </c>
    </row>
    <row r="7" spans="1:2" x14ac:dyDescent="0.25">
      <c r="A7" t="s">
        <v>58</v>
      </c>
      <c r="B7" s="18">
        <f>-MAX(Forecast!F9,0)*B6</f>
        <v>-18735895.41220699</v>
      </c>
    </row>
    <row r="8" spans="1:2" x14ac:dyDescent="0.25">
      <c r="A8" t="s">
        <v>59</v>
      </c>
      <c r="B8" s="18">
        <f>IF(OR(Assumptions!$B$33=0,Assumptions!B12&lt;=0),B5,MAX(B5+B7,0))</f>
        <v>63250827.356062844</v>
      </c>
    </row>
    <row r="9" spans="1:2" x14ac:dyDescent="0.25">
      <c r="A9" t="s">
        <v>60</v>
      </c>
      <c r="B9" s="18">
        <f>B8*(1+Assumptions!B12)/(Assumptions!B26-Assumptions!B12)</f>
        <v>768171711.9004864</v>
      </c>
    </row>
    <row r="10" spans="1:2" x14ac:dyDescent="0.25">
      <c r="A10" t="s">
        <v>61</v>
      </c>
      <c r="B10" s="18">
        <f>B9/(1+Assumptions!B26)^(5-0.5*Assumptions!B32)</f>
        <v>481465574.2426217</v>
      </c>
    </row>
    <row r="11" spans="1:2" x14ac:dyDescent="0.25">
      <c r="A11" t="s">
        <v>62</v>
      </c>
      <c r="B11" s="18">
        <f>Forecast!B17+B10</f>
        <v>776398952.3122042</v>
      </c>
    </row>
    <row r="12" spans="1:2" x14ac:dyDescent="0.25">
      <c r="A12" t="s">
        <v>63</v>
      </c>
      <c r="B12" s="18">
        <f>-Assumptions!B30</f>
        <v>-243701000</v>
      </c>
    </row>
    <row r="13" spans="1:2" x14ac:dyDescent="0.25">
      <c r="A13" t="s">
        <v>64</v>
      </c>
      <c r="B13" s="18">
        <f>B11+B12</f>
        <v>532697952.31220424</v>
      </c>
    </row>
    <row r="14" spans="1:2" x14ac:dyDescent="0.25">
      <c r="A14" s="19" t="s">
        <v>65</v>
      </c>
      <c r="B14" s="24">
        <f>B13/Assumptions!B31</f>
        <v>1.040747220052197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211190118.9293087</v>
      </c>
    </row>
    <row r="18" spans="1:2" x14ac:dyDescent="0.25">
      <c r="A18" t="s">
        <v>60</v>
      </c>
      <c r="B18" s="18">
        <f>B17*Assumptions!B13</f>
        <v>2810638524.342754</v>
      </c>
    </row>
    <row r="19" spans="1:2" x14ac:dyDescent="0.25">
      <c r="A19" t="s">
        <v>61</v>
      </c>
      <c r="B19" s="18">
        <f>B18/(1+Assumptions!B26)^(5-0.5*Assumptions!B32)</f>
        <v>1761618750.2702832</v>
      </c>
    </row>
    <row r="20" spans="1:2" x14ac:dyDescent="0.25">
      <c r="A20" t="s">
        <v>62</v>
      </c>
      <c r="B20" s="18">
        <f>Forecast!B17+B19</f>
        <v>2056552128.3398657</v>
      </c>
    </row>
    <row r="21" spans="1:2" x14ac:dyDescent="0.25">
      <c r="A21" t="s">
        <v>63</v>
      </c>
      <c r="B21" s="18">
        <f>-Assumptions!B30</f>
        <v>-243701000</v>
      </c>
    </row>
    <row r="22" spans="1:2" x14ac:dyDescent="0.25">
      <c r="A22" t="s">
        <v>64</v>
      </c>
      <c r="B22" s="18">
        <f>B20+B21</f>
        <v>1812851128.3398657</v>
      </c>
    </row>
    <row r="23" spans="1:2" x14ac:dyDescent="0.25">
      <c r="A23" s="19" t="s">
        <v>65</v>
      </c>
      <c r="B23" s="25">
        <f>B22/Assumptions!B31</f>
        <v>3.5418190815241446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1.040747220052197</v>
      </c>
    </row>
    <row r="29" spans="1:2" x14ac:dyDescent="0.25">
      <c r="A29" s="19" t="s">
        <v>73</v>
      </c>
      <c r="B29" s="12">
        <f>B28/B26-1</f>
        <v>-0.6874632972816226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0.089398</v>
      </c>
      <c r="B5" s="31">
        <v>1.3636470605790425</v>
      </c>
      <c r="C5" s="31">
        <v>1.3697411718419785</v>
      </c>
      <c r="D5" s="31">
        <v>1.3758352831049143</v>
      </c>
      <c r="E5" s="31">
        <v>1.3819293943678503</v>
      </c>
      <c r="F5" s="31">
        <v>1.3880235056307857</v>
      </c>
    </row>
    <row r="6" spans="1:6" x14ac:dyDescent="0.25">
      <c r="A6" s="30">
        <v>0.099398</v>
      </c>
      <c r="B6" s="31">
        <v>1.1808831624274998</v>
      </c>
      <c r="C6" s="31">
        <v>1.1861433699226474</v>
      </c>
      <c r="D6" s="31">
        <v>1.1914035774177947</v>
      </c>
      <c r="E6" s="31">
        <v>1.196663784912942</v>
      </c>
      <c r="F6" s="31">
        <v>1.2019239924080896</v>
      </c>
    </row>
    <row r="7" spans="1:6" x14ac:dyDescent="0.25">
      <c r="A7" s="30">
        <v>0.109398</v>
      </c>
      <c r="B7" s="31">
        <v>1.0315690910734097</v>
      </c>
      <c r="C7" s="31">
        <v>1.036157637996688</v>
      </c>
      <c r="D7" s="32">
        <v>1.040746184919966</v>
      </c>
      <c r="E7" s="31">
        <v>1.0453347318432438</v>
      </c>
      <c r="F7" s="31">
        <v>1.049923278766522</v>
      </c>
    </row>
    <row r="8" spans="1:6" x14ac:dyDescent="0.25">
      <c r="A8" s="30">
        <v>0.119398</v>
      </c>
      <c r="B8" s="31">
        <v>0.9072999852176559</v>
      </c>
      <c r="C8" s="31">
        <v>0.9113378367038109</v>
      </c>
      <c r="D8" s="31">
        <v>0.915375688189966</v>
      </c>
      <c r="E8" s="31">
        <v>0.9194135396761212</v>
      </c>
      <c r="F8" s="31">
        <v>0.9234513911622764</v>
      </c>
    </row>
    <row r="9" spans="1:6" x14ac:dyDescent="0.25">
      <c r="A9" s="30">
        <v>0.129398</v>
      </c>
      <c r="B9" s="31">
        <v>0.8022690554286683</v>
      </c>
      <c r="C9" s="31">
        <v>0.8058486895156612</v>
      </c>
      <c r="D9" s="31">
        <v>0.8094283236026539</v>
      </c>
      <c r="E9" s="31">
        <v>0.8130079576896466</v>
      </c>
      <c r="F9" s="31">
        <v>0.8165875917766394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520086000</v>
      </c>
      <c r="C5" s="18">
        <v>431395000</v>
      </c>
      <c r="D5" s="18">
        <v>445284000</v>
      </c>
      <c r="E5" s="18">
        <v>411398000</v>
      </c>
      <c r="F5" s="8" t="s">
        <v>84</v>
      </c>
    </row>
    <row r="6" spans="1:6" x14ac:dyDescent="0.25">
      <c r="A6" t="s">
        <v>44</v>
      </c>
      <c r="B6" s="18">
        <v>66478000</v>
      </c>
      <c r="C6" s="18">
        <v>71058000</v>
      </c>
      <c r="D6" s="18">
        <v>70422000</v>
      </c>
      <c r="E6" s="18">
        <v>61370000</v>
      </c>
      <c r="F6" s="8" t="s">
        <v>85</v>
      </c>
    </row>
    <row r="7" spans="1:6" x14ac:dyDescent="0.25">
      <c r="A7" t="s">
        <v>86</v>
      </c>
      <c r="B7" s="18">
        <v>82016000</v>
      </c>
      <c r="C7" s="18">
        <v>52682000</v>
      </c>
      <c r="D7" s="18">
        <v>53048000</v>
      </c>
      <c r="E7" s="18">
        <v>41188000</v>
      </c>
      <c r="F7" s="8" t="s">
        <v>87</v>
      </c>
    </row>
    <row r="8" spans="1:6" x14ac:dyDescent="0.25">
      <c r="A8" t="s">
        <v>88</v>
      </c>
      <c r="B8" s="18">
        <v>69334000</v>
      </c>
      <c r="C8" s="18">
        <v>57396000</v>
      </c>
      <c r="D8" s="18">
        <v>33509000</v>
      </c>
      <c r="E8" s="18">
        <v>27155000</v>
      </c>
      <c r="F8" s="8" t="s">
        <v>89</v>
      </c>
    </row>
    <row r="9" spans="1:6" x14ac:dyDescent="0.25">
      <c r="A9" t="s">
        <v>90</v>
      </c>
      <c r="B9" s="18">
        <v>25243000</v>
      </c>
      <c r="C9" s="18">
        <v>2488000</v>
      </c>
      <c r="D9" s="18">
        <v>5992000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284471000</v>
      </c>
      <c r="C10" s="18">
        <v>100315000</v>
      </c>
      <c r="D10" s="18">
        <v>127653000</v>
      </c>
      <c r="E10" s="18">
        <v>243854000</v>
      </c>
      <c r="F10" s="8" t="s">
        <v>93</v>
      </c>
    </row>
    <row r="11" spans="1:6" x14ac:dyDescent="0.25">
      <c r="A11" t="s">
        <v>94</v>
      </c>
      <c r="B11" s="18">
        <v>40770000</v>
      </c>
      <c r="C11" s="18">
        <v>42510000</v>
      </c>
      <c r="D11" s="18">
        <v>47132000</v>
      </c>
      <c r="E11" s="18">
        <v>58128000</v>
      </c>
      <c r="F11" s="8" t="s">
        <v>95</v>
      </c>
    </row>
    <row r="12" spans="1:6" x14ac:dyDescent="0.25">
      <c r="A12" t="s">
        <v>32</v>
      </c>
      <c r="B12" s="34">
        <v>511841821</v>
      </c>
      <c r="C12" s="34">
        <v>539491691</v>
      </c>
      <c r="D12" s="34">
        <v>537296849</v>
      </c>
      <c r="E12" s="34">
        <v>463509934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2026-09-19T01:03:27Z</dcterms:modified>
</cp:coreProperties>
</file>