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<sst xmlns="http://schemas.openxmlformats.org/spreadsheetml/2006/main" count="112" uniqueCount="100">
  <si>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IMI plc (IMI.L)</t>
  </si>
  <si>
    <t>DCF Studio - Base case</t>
  </si>
  <si>
    <t>Blue figures on a cream fill are inputs. Every other figure is a formula - change an input and the model reprices. Currency figures are GBP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</si>
  <si>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</si>
  <si>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</si>
  <si>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</si>
  <si>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</si>
  <si>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</si>
  <si>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</si>
  <si>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</si>
  <si>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</si>
  <si>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</si>
  <si>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</si>
  <si>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</si>
  <si>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</si>
  <si>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</si>
  <si>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</si>
  <si>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</si>
  <si>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</si>
  <si>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</si>
  <si>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</si>
  <si>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</si>
  <si>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</si>
  <si>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(GBP m)</t>
  </si>
  <si>
    <t>Total debt (GBP m)</t>
  </si>
  <si>
    <t>Equity weight</t>
  </si>
  <si>
    <t>Debt weight</t>
  </si>
  <si>
    <t>WACC</t>
  </si>
  <si>
    <t>Base year</t>
  </si>
  <si>
    <t>Revenue, last reported year (GBP m)</t>
  </si>
  <si>
    <t>Fiscal year ended 2025-12-31</t>
  </si>
  <si>
    <t>Net debt (GBP m)</t>
  </si>
  <si>
    <t>Diluted shares</t>
  </si>
  <si>
    <t>Mid-year discounting (1 = yes, 0 = no)</t>
  </si>
  <si>
    <t>Terminal year on a steady-state footing (1 = yes, 0 = no)</t>
  </si>
  <si>
    <t>Forecast cashflows (GBP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</si>
  <si>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</si>
  <si>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</si>
  <si>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</si>
  <si>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</si>
  <si>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</si>
  <si>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</si>
  <si>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</si>
  <si>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</si>
  <si>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</si>
  <si>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</si>
  <si>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</si>
  <si>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</si>
  <si>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</si>
  <si>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</si>
  <si>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</si>
  <si>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</si>
  <si>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</si>
  <si>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(GBP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</si>
  <si>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</si>
  <si>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</si>
  <si>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</si>
  <si>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</si>
  <si>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</si>
  <si>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</si>
  <si>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</si>
  <si>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</si>
  <si>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</si>
  <si>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</si>
  <si>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</si>
  <si>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</si>
  <si>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</si>
  <si>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</si>
  <si>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</si>
  <si>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</si>
  <si>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GBP to GBp</t>
  </si>
  <si>
    <t>then x100, because GBp is a sub-unit of GBP</t>
  </si>
  <si>
    <t>Value per share (GBp)</t>
  </si>
  <si>
    <t>Implied upside</t>
  </si>
  <si>
    <t>Value per share (GBP)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</si>
  <si>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</si>
  <si>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(GBP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</si>
  <si>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</si>
  <si>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</si>
  <si>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</si>
  <si>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</si>
  <si>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</si>
  <si>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</si>
  <si>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</si>
  <si>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</si>
  <si>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</si>
  <si>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</si>
  <si>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</si>
  <si>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</si>
  <si>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</si>
  <si>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</si>
  <si>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</si>
  <si>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</si>
  <si>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</si>
  <si>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</si>
  <si>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</si>
  <si>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</si>
  <si>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</si>
  <si>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GBP assumption - no free live source available for this market.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</si>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</sst>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0.039872688953566326</v>
      </c>
    </row>
    <row r="7" spans="1:2" x14ac:dyDescent="0.25">
      <c r="A7" t="s">
        <v>5</v>
      </c>
      <c r="B7" s="6">
        <v>0.15878154454062543</v>
      </c>
    </row>
    <row r="8" spans="1:2" x14ac:dyDescent="0.25">
      <c r="A8" t="s">
        <v>6</v>
      </c>
      <c r="B8" s="6">
        <v>0.2315795668549906</v>
      </c>
    </row>
    <row r="9" spans="1:2" x14ac:dyDescent="0.25">
      <c r="A9" t="s">
        <v>7</v>
      </c>
      <c r="B9" s="6">
        <v>0.05483805094880401</v>
      </c>
    </row>
    <row r="10" spans="1:2" x14ac:dyDescent="0.25">
      <c r="A10" t="s">
        <v>8</v>
      </c>
      <c r="B10" s="6">
        <v>0.03885576348257297</v>
      </c>
    </row>
    <row r="11" spans="1:2" x14ac:dyDescent="0.25">
      <c r="A11" t="s">
        <v>9</v>
      </c>
      <c r="B11" s="6">
        <v>0.20680272108843537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14.58576435983576</v>
      </c>
    </row>
    <row r="14" spans="1:3" x14ac:dyDescent="0.25">
      <c r="A14" t="s">
        <v>12</v>
      </c>
      <c r="B14" s="6">
        <v>0.15398374121540948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1.02948</v>
      </c>
      <c r="C19" s="8" t="s">
        <v>19</v>
      </c>
    </row>
    <row r="20" spans="1:2" x14ac:dyDescent="0.25">
      <c r="A20" t="s">
        <v>20</v>
      </c>
      <c r="B20" s="10">
        <f>B17+B19*B18</f>
        <v>0.1016214</v>
      </c>
    </row>
    <row r="21" spans="1:3" x14ac:dyDescent="0.25">
      <c r="A21" t="s">
        <v>21</v>
      </c>
      <c r="B21" s="6">
        <v>0.045</v>
      </c>
      <c r="C21" s="8" t="s">
        <v>22</v>
      </c>
    </row>
    <row r="22" spans="1:2" x14ac:dyDescent="0.25">
      <c r="A22" t="s">
        <v>23</v>
      </c>
      <c r="B22" s="11">
        <v>7286252544</v>
      </c>
    </row>
    <row r="23" spans="1:2" x14ac:dyDescent="0.25">
      <c r="A23" t="s">
        <v>24</v>
      </c>
      <c r="B23" s="11">
        <v>643700000</v>
      </c>
    </row>
    <row r="24" spans="1:2" x14ac:dyDescent="0.25">
      <c r="A24" t="s">
        <v>25</v>
      </c>
      <c r="B24" s="10">
        <f>B22/(B22+B23)</f>
        <v>0.918826752565242</v>
      </c>
    </row>
    <row r="25" spans="1:2" x14ac:dyDescent="0.25">
      <c r="A25" t="s">
        <v>26</v>
      </c>
      <c r="B25" s="10">
        <f>1-B24</f>
        <v>0.08117324743475796</v>
      </c>
    </row>
    <row r="26" spans="1:2" x14ac:dyDescent="0.25">
      <c r="A26" t="s">
        <v>27</v>
      </c>
      <c r="B26" s="12">
        <f>B24*B20+B25*B21*(1-B8)</f>
        <v>0.09617934414104566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2304000000</v>
      </c>
      <c r="C29" s="8" t="s">
        <v>30</v>
      </c>
    </row>
    <row r="30" spans="1:2" x14ac:dyDescent="0.25">
      <c r="A30" t="s">
        <v>31</v>
      </c>
      <c r="B30" s="11">
        <v>528800000</v>
      </c>
    </row>
    <row r="31" spans="1:2" x14ac:dyDescent="0.25">
      <c r="A31" t="s">
        <v>32</v>
      </c>
      <c r="B31" s="13">
        <v>250300000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0.039872688953566326</v>
      </c>
      <c r="C5" s="10">
        <f>Assumptions!B6</f>
        <v>0.039872688953566326</v>
      </c>
      <c r="D5" s="10">
        <f>Assumptions!B6</f>
        <v>0.039872688953566326</v>
      </c>
      <c r="E5" s="10">
        <f>Assumptions!B6</f>
        <v>0.039872688953566326</v>
      </c>
      <c r="F5" s="10">
        <f>Assumptions!B6</f>
        <v>0.039872688953566326</v>
      </c>
    </row>
    <row r="6" spans="1:6" x14ac:dyDescent="0.25">
      <c r="A6" t="s">
        <v>43</v>
      </c>
      <c r="B6" s="18">
        <f>Assumptions!B29*(1+B5)</f>
        <v>2395866675.3490167</v>
      </c>
      <c r="C6" s="18">
        <f>B6*(1+C5)</f>
        <v>2491396322.069423</v>
      </c>
      <c r="D6" s="18">
        <f>C6*(1+D5)</f>
        <v>2590734992.6793566</v>
      </c>
      <c r="E6" s="18">
        <f>D6*(1+E5)</f>
        <v>2694034563.2035804</v>
      </c>
      <c r="F6" s="18">
        <f>E6*(1+F5)</f>
        <v>2801452965.3723536</v>
      </c>
    </row>
    <row r="7" spans="1:6" x14ac:dyDescent="0.25">
      <c r="A7" t="s">
        <v>5</v>
      </c>
      <c r="B7" s="10">
        <f>Assumptions!B7</f>
        <v>0.15878154454062543</v>
      </c>
      <c r="C7" s="10">
        <f>Assumptions!B7</f>
        <v>0.15878154454062543</v>
      </c>
      <c r="D7" s="10">
        <f>Assumptions!B7</f>
        <v>0.15878154454062543</v>
      </c>
      <c r="E7" s="10">
        <f>Assumptions!B7</f>
        <v>0.15878154454062543</v>
      </c>
      <c r="F7" s="10">
        <f>Assumptions!B7</f>
        <v>0.15878154454062543</v>
      </c>
    </row>
    <row r="8" spans="1:6" x14ac:dyDescent="0.25">
      <c r="A8" t="s">
        <v>44</v>
      </c>
      <c r="B8" s="18">
        <f>B6*B7</f>
        <v>380419411.22533005</v>
      </c>
      <c r="C8" s="18">
        <f>C6*C7</f>
        <v>395587756.0810165</v>
      </c>
      <c r="D8" s="18">
        <f>D6*D7</f>
        <v>411360903.63307416</v>
      </c>
      <c r="E8" s="18">
        <f>E6*E7</f>
        <v>427762968.99129367</v>
      </c>
      <c r="F8" s="18">
        <f>F6*F7</f>
        <v>444819028.7997376</v>
      </c>
    </row>
    <row r="9" spans="1:6" x14ac:dyDescent="0.25">
      <c r="A9" t="s">
        <v>45</v>
      </c>
      <c r="B9" s="18">
        <f>B8*(1-Assumptions!B8)</f>
        <v>292322048.7505376</v>
      </c>
      <c r="C9" s="18">
        <f>C8*(1-Assumptions!B8)</f>
        <v>303977714.874637</v>
      </c>
      <c r="D9" s="18">
        <f>D8*(1-Assumptions!B8)</f>
        <v>316098123.7486493</v>
      </c>
      <c r="E9" s="18">
        <f>E8*(1-Assumptions!B8)</f>
        <v>328701805.9156851</v>
      </c>
      <c r="F9" s="18">
        <f>F8*(1-Assumptions!B8)</f>
        <v>341808030.78143674</v>
      </c>
    </row>
    <row r="10" spans="1:6" x14ac:dyDescent="0.25">
      <c r="A10" t="s">
        <v>46</v>
      </c>
      <c r="B10" s="18">
        <f>B6*Assumptions!B9</f>
        <v>131384658.80933104</v>
      </c>
      <c r="C10" s="18">
        <f>C6*Assumptions!B9</f>
        <v>136623318.44330594</v>
      </c>
      <c r="D10" s="18">
        <f>D6*Assumptions!B9</f>
        <v>142070857.52339992</v>
      </c>
      <c r="E10" s="18">
        <f>E6*Assumptions!B9</f>
        <v>147735604.6347969</v>
      </c>
      <c r="F10" s="18">
        <f>F6*Assumptions!B9</f>
        <v>153626220.4457672</v>
      </c>
    </row>
    <row r="11" spans="1:6" x14ac:dyDescent="0.25">
      <c r="A11" t="s">
        <v>47</v>
      </c>
      <c r="B11" s="18">
        <f>-B6*Assumptions!B10</f>
        <v>-93093228.87313983</v>
      </c>
      <c r="C11" s="18">
        <f>-C6*Assumptions!B10</f>
        <v>-96805106.2316817</v>
      </c>
      <c r="D11" s="18">
        <f>-D6*Assumptions!B10</f>
        <v>-100664986.12157449</v>
      </c>
      <c r="E11" s="18">
        <f>-E6*Assumptions!B10</f>
        <v>-104678769.80171509</v>
      </c>
      <c r="F11" s="18">
        <f>-F6*Assumptions!B10</f>
        <v>-108852593.83006085</v>
      </c>
    </row>
    <row r="12" spans="1:6" x14ac:dyDescent="0.25">
      <c r="A12" t="s">
        <v>48</v>
      </c>
      <c r="B12" s="18">
        <f>-(B6-Assumptions!B29)*Assumptions!B11</f>
        <v>-18998278.439524535</v>
      </c>
      <c r="C12" s="18">
        <f>-(C6-B6)*Assumptions!B11</f>
        <v>-19755790.886396997</v>
      </c>
      <c r="D12" s="18">
        <f>-(D6-C6)*Assumptions!B11</f>
        <v>-20543507.391442005</v>
      </c>
      <c r="E12" s="18">
        <f>-(E6-D6)*Assumptions!B11</f>
        <v>-21362632.271676213</v>
      </c>
      <c r="F12" s="18">
        <f>-(F6-E6)*Assumptions!B11</f>
        <v>-22214417.86347418</v>
      </c>
    </row>
    <row r="13" spans="1:6" x14ac:dyDescent="0.25">
      <c r="A13" s="19" t="s">
        <v>49</v>
      </c>
      <c r="B13" s="20">
        <f>B9+B10+B11+B12</f>
        <v>311615200.2472043</v>
      </c>
      <c r="C13" s="20">
        <f>C9+C10+C11+C12</f>
        <v>324040136.19986427</v>
      </c>
      <c r="D13" s="20">
        <f>D9+D10+D11+D12</f>
        <v>336960487.75903267</v>
      </c>
      <c r="E13" s="20">
        <f>E9+E10+E11+E12</f>
        <v>350396008.4770907</v>
      </c>
      <c r="F13" s="20">
        <f>F9+F10+F11+F12</f>
        <v>364367239.53366894</v>
      </c>
    </row>
    <row r="14" spans="1:6" x14ac:dyDescent="0.25">
      <c r="A14" t="s">
        <v>50</v>
      </c>
      <c r="B14" s="21">
        <f>1/(1+Assumptions!$B$26)^(1-0.5*Assumptions!$B$32)</f>
        <v>0.9551227572376003</v>
      </c>
      <c r="C14" s="21">
        <f>1/(1+Assumptions!$B$26)^(2-0.5*Assumptions!$B$32)</f>
        <v>0.8713197911843742</v>
      </c>
      <c r="D14" s="21">
        <f>1/(1+Assumptions!$B$26)^(3-0.5*Assumptions!$B$32)</f>
        <v>0.7948697408334501</v>
      </c>
      <c r="E14" s="21">
        <f>1/(1+Assumptions!$B$26)^(4-0.5*Assumptions!$B$32)</f>
        <v>0.7251274575478354</v>
      </c>
      <c r="F14" s="21">
        <f>1/(1+Assumptions!$B$26)^(5-0.5*Assumptions!$B$32)</f>
        <v>0.6615043983665259</v>
      </c>
    </row>
    <row r="15" spans="1:6" x14ac:dyDescent="0.25">
      <c r="A15" s="19" t="s">
        <v>51</v>
      </c>
      <c r="B15" s="20">
        <f>B13*B14</f>
        <v>297630769.25725675</v>
      </c>
      <c r="C15" s="20">
        <f>C13*C14</f>
        <v>282342583.8090219</v>
      </c>
      <c r="D15" s="20">
        <f>D13*D14</f>
        <v>267839695.57613522</v>
      </c>
      <c r="E15" s="20">
        <f>E13*E14</f>
        <v>254081766.76190257</v>
      </c>
      <c r="F15" s="20">
        <f>F13*F14</f>
        <v>241030531.57219148</v>
      </c>
    </row>
    <row r="17" spans="1:2" x14ac:dyDescent="0.25">
      <c r="A17" s="22" t="s">
        <v>52</v>
      </c>
      <c r="B17" s="23">
        <f>SUM(B15:F15)</f>
        <v>1342925346.976508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364367239.53366894</v>
      </c>
    </row>
    <row r="5" spans="1:2" x14ac:dyDescent="0.25">
      <c r="A5" t="s">
        <v>56</v>
      </c>
      <c r="B5" s="18">
        <f>IF(Assumptions!$B$33=0,B4,B4-Forecast!F11-Forecast!F10-Forecast!F12)</f>
        <v>388327007.95738274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0.162354803193327</v>
      </c>
    </row>
    <row r="7" spans="1:2" x14ac:dyDescent="0.25">
      <c r="A7" t="s">
        <v>58</v>
      </c>
      <c r="B7" s="18">
        <f>-MAX(Forecast!F9,0)*B6</f>
        <v>-63046754.95157441</v>
      </c>
    </row>
    <row r="8" spans="1:2" x14ac:dyDescent="0.25">
      <c r="A8" t="s">
        <v>59</v>
      </c>
      <c r="B8" s="18">
        <f>IF(OR(Assumptions!$B$33=0,Assumptions!B12&lt;=0),B5,MAX(B5+B7,0))</f>
        <v>325280253.00580835</v>
      </c>
    </row>
    <row r="9" spans="1:2" x14ac:dyDescent="0.25">
      <c r="A9" t="s">
        <v>60</v>
      </c>
      <c r="B9" s="18">
        <f>B8*(1+Assumptions!B12)/(Assumptions!B26-Assumptions!B12)</f>
        <v>4684115361.758313</v>
      </c>
    </row>
    <row r="10" spans="1:2" x14ac:dyDescent="0.25">
      <c r="A10" t="s">
        <v>61</v>
      </c>
      <c r="B10" s="18">
        <f>B9/(1+Assumptions!B26)^(5-0.5*Assumptions!B32)</f>
        <v>3098562914.2593346</v>
      </c>
    </row>
    <row r="11" spans="1:2" x14ac:dyDescent="0.25">
      <c r="A11" t="s">
        <v>62</v>
      </c>
      <c r="B11" s="18">
        <f>Forecast!B17+B10</f>
        <v>4441488261.235843</v>
      </c>
    </row>
    <row r="12" spans="1:2" x14ac:dyDescent="0.25">
      <c r="A12" t="s">
        <v>63</v>
      </c>
      <c r="B12" s="18">
        <f>-Assumptions!B30</f>
        <v>-528800000</v>
      </c>
    </row>
    <row r="13" spans="1:2" x14ac:dyDescent="0.25">
      <c r="A13" t="s">
        <v>64</v>
      </c>
      <c r="B13" s="18">
        <f>B11+B12</f>
        <v>3912688261.2358427</v>
      </c>
    </row>
    <row r="14" spans="1:2" x14ac:dyDescent="0.25">
      <c r="A14" s="19" t="s">
        <v>65</v>
      </c>
      <c r="B14" s="24">
        <f>B13/Assumptions!B31</f>
        <v>15.631994651361737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598445249.2455047</v>
      </c>
    </row>
    <row r="18" spans="1:2" x14ac:dyDescent="0.25">
      <c r="A18" t="s">
        <v>60</v>
      </c>
      <c r="B18" s="18">
        <f>B17*Assumptions!B13</f>
        <v>8728781387.758112</v>
      </c>
    </row>
    <row r="19" spans="1:2" x14ac:dyDescent="0.25">
      <c r="A19" t="s">
        <v>61</v>
      </c>
      <c r="B19" s="18">
        <f>B18/(1+Assumptions!B26)^(5-0.5*Assumptions!B32)</f>
        <v>5774127280.381859</v>
      </c>
    </row>
    <row r="20" spans="1:2" x14ac:dyDescent="0.25">
      <c r="A20" t="s">
        <v>62</v>
      </c>
      <c r="B20" s="18">
        <f>Forecast!B17+B19</f>
        <v>7117052627.358367</v>
      </c>
    </row>
    <row r="21" spans="1:2" x14ac:dyDescent="0.25">
      <c r="A21" t="s">
        <v>63</v>
      </c>
      <c r="B21" s="18">
        <f>-Assumptions!B30</f>
        <v>-528800000</v>
      </c>
    </row>
    <row r="22" spans="1:2" x14ac:dyDescent="0.25">
      <c r="A22" t="s">
        <v>64</v>
      </c>
      <c r="B22" s="18">
        <f>B20+B21</f>
        <v>6588252627.358367</v>
      </c>
    </row>
    <row r="23" spans="1:2" x14ac:dyDescent="0.25">
      <c r="A23" s="19" t="s">
        <v>65</v>
      </c>
      <c r="B23" s="25">
        <f>B22/Assumptions!B31</f>
        <v>26.32142479967386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3094</v>
      </c>
    </row>
    <row r="27" spans="1:3" x14ac:dyDescent="0.25">
      <c r="A27" t="s">
        <v>70</v>
      </c>
      <c r="B27" s="27">
        <v>100</v>
      </c>
      <c r="C27" s="8" t="s">
        <v>71</v>
      </c>
    </row>
    <row r="28" spans="1:2" x14ac:dyDescent="0.25">
      <c r="A28" t="s">
        <v>72</v>
      </c>
      <c r="B28" s="28">
        <f>B14*B27</f>
        <v>1563.1994651361738</v>
      </c>
    </row>
    <row r="29" spans="1:2" x14ac:dyDescent="0.25">
      <c r="A29" s="19" t="s">
        <v>73</v>
      </c>
      <c r="B29" s="12">
        <f>B28/B26-1</f>
        <v>-0.49476423234124955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0.076179</v>
      </c>
      <c r="B5" s="31">
        <v>20.19224803476246</v>
      </c>
      <c r="C5" s="31">
        <v>21.110445906815663</v>
      </c>
      <c r="D5" s="31">
        <v>22.20097897246698</v>
      </c>
      <c r="E5" s="31">
        <v>23.51982566139163</v>
      </c>
      <c r="F5" s="31">
        <v>25.150152256138966</v>
      </c>
    </row>
    <row r="6" spans="1:6" x14ac:dyDescent="0.25">
      <c r="A6" s="30">
        <v>0.086179</v>
      </c>
      <c r="B6" s="31">
        <v>17.137346162465555</v>
      </c>
      <c r="C6" s="31">
        <v>17.715030227699273</v>
      </c>
      <c r="D6" s="31">
        <v>18.38146311211602</v>
      </c>
      <c r="E6" s="31">
        <v>19.16034107744609</v>
      </c>
      <c r="F6" s="31">
        <v>20.084620535766685</v>
      </c>
    </row>
    <row r="7" spans="1:6" x14ac:dyDescent="0.25">
      <c r="A7" s="30">
        <v>0.096179</v>
      </c>
      <c r="B7" s="31">
        <v>14.83454928787427</v>
      </c>
      <c r="C7" s="31">
        <v>15.209327126750889</v>
      </c>
      <c r="D7" s="32">
        <v>15.632076026856883</v>
      </c>
      <c r="E7" s="31">
        <v>16.1136690131464</v>
      </c>
      <c r="F7" s="31">
        <v>16.66853360638234</v>
      </c>
    </row>
    <row r="8" spans="1:6" x14ac:dyDescent="0.25">
      <c r="A8" s="30">
        <v>0.106179</v>
      </c>
      <c r="B8" s="31">
        <v>13.036421870731568</v>
      </c>
      <c r="C8" s="31">
        <v>13.283699035389972</v>
      </c>
      <c r="D8" s="31">
        <v>13.557496226343833</v>
      </c>
      <c r="E8" s="31">
        <v>13.863035360321273</v>
      </c>
      <c r="F8" s="31">
        <v>14.207005617352273</v>
      </c>
    </row>
    <row r="9" spans="1:6" x14ac:dyDescent="0.25">
      <c r="A9" s="30">
        <v>0.116179</v>
      </c>
      <c r="B9" s="31">
        <v>11.593347614352265</v>
      </c>
      <c r="C9" s="31">
        <v>11.757278886505174</v>
      </c>
      <c r="D9" s="31">
        <v>11.935819957056854</v>
      </c>
      <c r="E9" s="31">
        <v>12.131513753820132</v>
      </c>
      <c r="F9" s="31">
        <v>12.347529703533127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2304000000</v>
      </c>
      <c r="C5" s="18">
        <v>2210000000</v>
      </c>
      <c r="D5" s="18">
        <v>2196000000</v>
      </c>
      <c r="E5" s="18">
        <v>2049000000</v>
      </c>
      <c r="F5" s="8" t="s">
        <v>84</v>
      </c>
    </row>
    <row r="6" spans="1:6" x14ac:dyDescent="0.25">
      <c r="A6" t="s">
        <v>44</v>
      </c>
      <c r="B6" s="18">
        <v>422400000</v>
      </c>
      <c r="C6" s="18">
        <v>356200000</v>
      </c>
      <c r="D6" s="18">
        <v>318600000</v>
      </c>
      <c r="E6" s="18">
        <v>298200000</v>
      </c>
      <c r="F6" s="8" t="s">
        <v>85</v>
      </c>
    </row>
    <row r="7" spans="1:6" x14ac:dyDescent="0.25">
      <c r="A7" t="s">
        <v>86</v>
      </c>
      <c r="B7" s="18">
        <v>113400000</v>
      </c>
      <c r="C7" s="18">
        <v>119000000</v>
      </c>
      <c r="D7" s="18">
        <v>124400000</v>
      </c>
      <c r="E7" s="18">
        <v>122200000</v>
      </c>
      <c r="F7" s="8" t="s">
        <v>87</v>
      </c>
    </row>
    <row r="8" spans="1:6" x14ac:dyDescent="0.25">
      <c r="A8" t="s">
        <v>88</v>
      </c>
      <c r="B8" s="18">
        <v>98700000</v>
      </c>
      <c r="C8" s="18">
        <v>91500000</v>
      </c>
      <c r="D8" s="18">
        <v>79900000</v>
      </c>
      <c r="E8" s="18">
        <v>71300000</v>
      </c>
      <c r="F8" s="8" t="s">
        <v>89</v>
      </c>
    </row>
    <row r="9" spans="1:6" x14ac:dyDescent="0.25">
      <c r="A9" t="s">
        <v>90</v>
      </c>
      <c r="B9" s="18">
        <v>9300000</v>
      </c>
      <c r="C9" s="18">
        <v>17200000</v>
      </c>
      <c r="D9" s="18">
        <v>30400000</v>
      </c>
      <c r="E9" s="18">
        <v>98900000</v>
      </c>
      <c r="F9" s="8" t="s">
        <v>91</v>
      </c>
    </row>
    <row r="10" spans="1:6" x14ac:dyDescent="0.25">
      <c r="A10" t="s">
        <v>92</v>
      </c>
      <c r="B10" s="18">
        <v>643700000</v>
      </c>
      <c r="C10" s="18">
        <v>695500000</v>
      </c>
      <c r="D10" s="18">
        <v>745100000</v>
      </c>
      <c r="E10" s="18">
        <v>945000000</v>
      </c>
      <c r="F10" s="8" t="s">
        <v>93</v>
      </c>
    </row>
    <row r="11" spans="1:6" x14ac:dyDescent="0.25">
      <c r="A11" t="s">
        <v>94</v>
      </c>
      <c r="B11" s="18">
        <v>114900000</v>
      </c>
      <c r="C11" s="18">
        <v>150000000</v>
      </c>
      <c r="D11" s="18">
        <v>108200000</v>
      </c>
      <c r="E11" s="18">
        <v>135000000</v>
      </c>
      <c r="F11" s="8" t="s">
        <v>95</v>
      </c>
    </row>
    <row r="12" spans="1:6" x14ac:dyDescent="0.25">
      <c r="A12" t="s">
        <v>32</v>
      </c>
      <c r="B12" s="34">
        <v>250300000</v>
      </c>
      <c r="C12" s="34">
        <v>259900000</v>
      </c>
      <c r="D12" s="34">
        <v>260300000</v>
      </c>
      <c r="E12" s="34">
        <v>259500000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2026-09-19T00:07:15Z</dcterms:modified>
</cp:coreProperties>
</file>