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<sst xmlns="http://schemas.openxmlformats.org/spreadsheetml/2006/main" count="112" uniqueCount="100">
  <si>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Imperial Oil Limited (IMO.TO)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</si>
  <si>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</si>
  <si>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</si>
  <si>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</si>
  <si>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</si>
  <si>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</si>
  <si>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</si>
  <si>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</si>
  <si>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</si>
  <si>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</si>
  <si>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</si>
  <si>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</si>
  <si>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</si>
  <si>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</si>
  <si>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</si>
  <si>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</si>
  <si>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</si>
  <si>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</si>
  <si>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</si>
  <si>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</si>
  <si>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</si>
  <si>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</si>
  <si>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</si>
  <si>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</si>
  <si>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</si>
  <si>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</si>
  <si>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</si>
  <si>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</si>
  <si>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</si>
  <si>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</si>
  <si>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</si>
  <si>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</si>
  <si>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</si>
  <si>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</si>
  <si>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</si>
  <si>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</si>
  <si>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</si>
  <si>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</si>
  <si>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</si>
  <si>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</si>
  <si>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</si>
  <si>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</si>
  <si>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</si>
  <si>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</si>
  <si>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</si>
  <si>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</si>
  <si>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</si>
  <si>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</si>
  <si>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</si>
  <si>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</si>
  <si>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</si>
  <si>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</si>
  <si>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</si>
  <si>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</si>
  <si>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</si>
  <si>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</si>
  <si>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</si>
  <si>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</si>
  <si>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</si>
  <si>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</si>
  <si>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</si>
  <si>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</si>
  <si>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</si>
  <si>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</si>
  <si>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</si>
  <si>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</si>
  <si>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</si>
  <si>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</si>
  <si>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</si>
  <si>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</si>
  <si>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</si>
  <si>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</si>
  <si>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</si>
  <si>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</si>
  <si>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</si>
  <si>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</si>
  <si>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</si>
  <si>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</si>
  <si>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</si>
  <si>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</si>
  <si>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</si>
  <si>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</si>
  <si>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</si>
  <si>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</si>
  <si>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</si>
  <si>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</si>
  <si>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</si>
  <si>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reconciledDepreciation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</si>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</sst>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-0.07564728780614305</v>
      </c>
    </row>
    <row r="7" spans="1:2" x14ac:dyDescent="0.25">
      <c r="A7" t="s">
        <v>5</v>
      </c>
      <c r="B7" s="6">
        <v>0.12653031250252206</v>
      </c>
    </row>
    <row r="8" spans="1:2" x14ac:dyDescent="0.25">
      <c r="A8" t="s">
        <v>6</v>
      </c>
      <c r="B8" s="6">
        <v>0.23231216348844308</v>
      </c>
    </row>
    <row r="9" spans="1:2" x14ac:dyDescent="0.25">
      <c r="A9" t="s">
        <v>7</v>
      </c>
      <c r="B9" s="6">
        <v>0.042574010628562066</v>
      </c>
    </row>
    <row r="10" spans="1:2" x14ac:dyDescent="0.25">
      <c r="A10" t="s">
        <v>8</v>
      </c>
      <c r="B10" s="6">
        <v>0.036553462172703374</v>
      </c>
    </row>
    <row r="11" spans="1:2" x14ac:dyDescent="0.25">
      <c r="A11" t="s">
        <v>9</v>
      </c>
      <c r="B11" s="6">
        <v>0.1864125932062966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13.58668134468848</v>
      </c>
    </row>
    <row r="14" spans="1:3" x14ac:dyDescent="0.25">
      <c r="A14" t="s">
        <v>12</v>
      </c>
      <c r="B14" s="6">
        <v>0.1788621087379822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0.8693500000000001</v>
      </c>
      <c r="C19" s="8" t="s">
        <v>19</v>
      </c>
    </row>
    <row r="20" spans="1:2" x14ac:dyDescent="0.25">
      <c r="A20" t="s">
        <v>20</v>
      </c>
      <c r="B20" s="10">
        <f>B17+B19*B18</f>
        <v>0.08081425</v>
      </c>
    </row>
    <row r="21" spans="1:3" x14ac:dyDescent="0.25">
      <c r="A21" t="s">
        <v>21</v>
      </c>
      <c r="B21" s="6">
        <v>0.033</v>
      </c>
      <c r="C21" s="8" t="s">
        <v>22</v>
      </c>
    </row>
    <row r="22" spans="1:2" x14ac:dyDescent="0.25">
      <c r="A22" t="s">
        <v>23</v>
      </c>
      <c r="B22" s="11">
        <v>87931658240</v>
      </c>
    </row>
    <row r="23" spans="1:2" x14ac:dyDescent="0.25">
      <c r="A23" t="s">
        <v>24</v>
      </c>
      <c r="B23" s="11">
        <v>4146000000</v>
      </c>
    </row>
    <row r="24" spans="1:2" x14ac:dyDescent="0.25">
      <c r="A24" t="s">
        <v>25</v>
      </c>
      <c r="B24" s="10">
        <f>B22/(B22+B23)</f>
        <v>0.9549727905851659</v>
      </c>
    </row>
    <row r="25" spans="1:2" x14ac:dyDescent="0.25">
      <c r="A25" t="s">
        <v>26</v>
      </c>
      <c r="B25" s="10">
        <f>1-B24</f>
        <v>0.04502720941483407</v>
      </c>
    </row>
    <row r="26" spans="1:2" x14ac:dyDescent="0.25">
      <c r="A26" t="s">
        <v>27</v>
      </c>
      <c r="B26" s="12">
        <f>B24*B20+B25*B21*(1-B8)</f>
        <v>0.07831611559388153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45203000000</v>
      </c>
      <c r="C29" s="8" t="s">
        <v>30</v>
      </c>
    </row>
    <row r="30" spans="1:2" x14ac:dyDescent="0.25">
      <c r="A30" t="s">
        <v>31</v>
      </c>
      <c r="B30" s="11">
        <v>3004000000</v>
      </c>
    </row>
    <row r="31" spans="1:2" x14ac:dyDescent="0.25">
      <c r="A31" t="s">
        <v>32</v>
      </c>
      <c r="B31" s="13">
        <v>504000000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-0.07564728780614305</v>
      </c>
      <c r="C5" s="10">
        <f>Assumptions!B6</f>
        <v>-0.07564728780614305</v>
      </c>
      <c r="D5" s="10">
        <f>Assumptions!B6</f>
        <v>-0.07564728780614305</v>
      </c>
      <c r="E5" s="10">
        <f>Assumptions!B6</f>
        <v>-0.07564728780614305</v>
      </c>
      <c r="F5" s="10">
        <f>Assumptions!B6</f>
        <v>-0.07564728780614305</v>
      </c>
    </row>
    <row r="6" spans="1:6" x14ac:dyDescent="0.25">
      <c r="A6" t="s">
        <v>43</v>
      </c>
      <c r="B6" s="18">
        <f>Assumptions!B29*(1+B5)</f>
        <v>41783515649.29891</v>
      </c>
      <c r="C6" s="18">
        <f>B6*(1+C5)</f>
        <v>38622706015.42391</v>
      </c>
      <c r="D6" s="18">
        <f>C6*(1+D5)</f>
        <v>35701003057.623085</v>
      </c>
      <c r="E6" s="18">
        <f>D6*(1+E5)</f>
        <v>33000319004.35508</v>
      </c>
      <c r="F6" s="18">
        <f>E6*(1+F5)</f>
        <v>30503934374.9381</v>
      </c>
    </row>
    <row r="7" spans="1:6" x14ac:dyDescent="0.25">
      <c r="A7" t="s">
        <v>5</v>
      </c>
      <c r="B7" s="10">
        <f>Assumptions!B7</f>
        <v>0.12653031250252206</v>
      </c>
      <c r="C7" s="10">
        <f>Assumptions!B7</f>
        <v>0.12653031250252206</v>
      </c>
      <c r="D7" s="10">
        <f>Assumptions!B7</f>
        <v>0.12653031250252206</v>
      </c>
      <c r="E7" s="10">
        <f>Assumptions!B7</f>
        <v>0.12653031250252206</v>
      </c>
      <c r="F7" s="10">
        <f>Assumptions!B7</f>
        <v>0.12653031250252206</v>
      </c>
    </row>
    <row r="8" spans="1:6" x14ac:dyDescent="0.25">
      <c r="A8" t="s">
        <v>44</v>
      </c>
      <c r="B8" s="18">
        <f>B6*B7</f>
        <v>5286881292.559813</v>
      </c>
      <c r="C8" s="18">
        <f>C6*C7</f>
        <v>4886943061.824626</v>
      </c>
      <c r="D8" s="18">
        <f>D6*D7</f>
        <v>4517259073.534544</v>
      </c>
      <c r="E8" s="18">
        <f>E6*E7</f>
        <v>4175540676.3039656</v>
      </c>
      <c r="F8" s="18">
        <f>F6*F7</f>
        <v>3859672349.0173426</v>
      </c>
    </row>
    <row r="9" spans="1:6" x14ac:dyDescent="0.25">
      <c r="A9" t="s">
        <v>45</v>
      </c>
      <c r="B9" s="18">
        <f>B8*(1-Assumptions!B8)</f>
        <v>4058674461.378666</v>
      </c>
      <c r="C9" s="18">
        <f>C8*(1-Assumptions!B8)</f>
        <v>3751646746.287311</v>
      </c>
      <c r="D9" s="18">
        <f>D8*(1-Assumptions!B8)</f>
        <v>3467844845.1239343</v>
      </c>
      <c r="E9" s="18">
        <f>E8*(1-Assumptions!B8)</f>
        <v>3205511788.0577946</v>
      </c>
      <c r="F9" s="18">
        <f>F8*(1-Assumptions!B8)</f>
        <v>2963023515.2606025</v>
      </c>
    </row>
    <row r="10" spans="1:6" x14ac:dyDescent="0.25">
      <c r="A10" t="s">
        <v>46</v>
      </c>
      <c r="B10" s="18">
        <f>B6*Assumptions!B9</f>
        <v>1778891839.3519413</v>
      </c>
      <c r="C10" s="18">
        <f>C6*Assumptions!B9</f>
        <v>1644323496.4044857</v>
      </c>
      <c r="D10" s="18">
        <f>D6*Assumptions!B9</f>
        <v>1519934883.625572</v>
      </c>
      <c r="E10" s="18">
        <f>E6*Assumptions!B9</f>
        <v>1404955932.0373518</v>
      </c>
      <c r="F10" s="18">
        <f>F6*Assumptions!B9</f>
        <v>1298674826.2915745</v>
      </c>
    </row>
    <row r="11" spans="1:6" x14ac:dyDescent="0.25">
      <c r="A11" t="s">
        <v>47</v>
      </c>
      <c r="B11" s="18">
        <f>-B6*Assumptions!B10</f>
        <v>-1527332158.7292073</v>
      </c>
      <c r="C11" s="18">
        <f>-C6*Assumptions!B10</f>
        <v>-1411793623.342241</v>
      </c>
      <c r="D11" s="18">
        <f>-D6*Assumptions!B10</f>
        <v>-1304995264.7943928</v>
      </c>
      <c r="E11" s="18">
        <f>-E6*Assumptions!B10</f>
        <v>-1206275912.4128377</v>
      </c>
      <c r="F11" s="18">
        <f>-F6*Assumptions!B10</f>
        <v>-1115024411.2929258</v>
      </c>
    </row>
    <row r="12" spans="1:6" x14ac:dyDescent="0.25">
      <c r="A12" t="s">
        <v>48</v>
      </c>
      <c r="B12" s="18">
        <f>-(B6-Assumptions!B29)*Assumptions!B11</f>
        <v>637434945.2425392</v>
      </c>
      <c r="C12" s="18">
        <f>-(C6-B6)*Assumptions!B11</f>
        <v>589214720.4820837</v>
      </c>
      <c r="D12" s="18">
        <f>-(D6-C6)*Assumptions!B11</f>
        <v>544642224.9421592</v>
      </c>
      <c r="E12" s="18">
        <f>-(E6-D6)*Assumptions!B11</f>
        <v>503441517.800581</v>
      </c>
      <c r="F12" s="18">
        <f>-(F6-E6)*Assumptions!B11</f>
        <v>465357532.40995914</v>
      </c>
    </row>
    <row r="13" spans="1:6" x14ac:dyDescent="0.25">
      <c r="A13" s="19" t="s">
        <v>49</v>
      </c>
      <c r="B13" s="20">
        <f>B9+B10+B11+B12</f>
        <v>4947669087.243939</v>
      </c>
      <c r="C13" s="20">
        <f>C9+C10+C11+C12</f>
        <v>4573391339.831639</v>
      </c>
      <c r="D13" s="20">
        <f>D9+D10+D11+D12</f>
        <v>4227426688.8972726</v>
      </c>
      <c r="E13" s="20">
        <f>E9+E10+E11+E12</f>
        <v>3907633325.482889</v>
      </c>
      <c r="F13" s="20">
        <f>F9+F10+F11+F12</f>
        <v>3612031462.6692104</v>
      </c>
    </row>
    <row r="14" spans="1:6" x14ac:dyDescent="0.25">
      <c r="A14" t="s">
        <v>50</v>
      </c>
      <c r="B14" s="21">
        <f>1/(1+Assumptions!$B$26)^(1-0.5*Assumptions!$B$32)</f>
        <v>0.9630014744516354</v>
      </c>
      <c r="C14" s="21">
        <f>1/(1+Assumptions!$B$26)^(2-0.5*Assumptions!$B$32)</f>
        <v>0.8930604490884969</v>
      </c>
      <c r="D14" s="21">
        <f>1/(1+Assumptions!$B$26)^(3-0.5*Assumptions!$B$32)</f>
        <v>0.8281991117202627</v>
      </c>
      <c r="E14" s="21">
        <f>1/(1+Assumptions!$B$26)^(4-0.5*Assumptions!$B$32)</f>
        <v>0.7680485339534528</v>
      </c>
      <c r="F14" s="21">
        <f>1/(1+Assumptions!$B$26)^(5-0.5*Assumptions!$B$32)</f>
        <v>0.7122665819850524</v>
      </c>
    </row>
    <row r="15" spans="1:6" x14ac:dyDescent="0.25">
      <c r="A15" s="19" t="s">
        <v>51</v>
      </c>
      <c r="B15" s="20">
        <f>B13*B14</f>
        <v>4764612626.114691</v>
      </c>
      <c r="C15" s="20">
        <f>C13*C14</f>
        <v>4084314923.8074865</v>
      </c>
      <c r="D15" s="20">
        <f>D13*D14</f>
        <v>3501151028.6072526</v>
      </c>
      <c r="E15" s="20">
        <f>E13*E14</f>
        <v>3001252046.8647885</v>
      </c>
      <c r="F15" s="20">
        <f>F13*F14</f>
        <v>2572729303.937868</v>
      </c>
    </row>
    <row r="17" spans="1:2" x14ac:dyDescent="0.25">
      <c r="A17" s="22" t="s">
        <v>52</v>
      </c>
      <c r="B17" s="23">
        <f>SUM(B15:F15)</f>
        <v>17924059929.332085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3612031462.6692104</v>
      </c>
    </row>
    <row r="5" spans="1:2" x14ac:dyDescent="0.25">
      <c r="A5" t="s">
        <v>56</v>
      </c>
      <c r="B5" s="18">
        <f>IF(Assumptions!$B$33=0,B4,B4-Forecast!F11-Forecast!F10-Forecast!F12)</f>
        <v>2963023515.2606025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0.13977247711320948</v>
      </c>
    </row>
    <row r="7" spans="1:2" x14ac:dyDescent="0.25">
      <c r="A7" t="s">
        <v>58</v>
      </c>
      <c r="B7" s="18">
        <f>-MAX(Forecast!F9,0)*B6</f>
        <v>-414149136.47266406</v>
      </c>
    </row>
    <row r="8" spans="1:2" x14ac:dyDescent="0.25">
      <c r="A8" t="s">
        <v>59</v>
      </c>
      <c r="B8" s="18">
        <f>IF(OR(Assumptions!$B$33=0,Assumptions!B12&lt;=0),B5,MAX(B5+B7,0))</f>
        <v>2548874378.7879386</v>
      </c>
    </row>
    <row r="9" spans="1:2" x14ac:dyDescent="0.25">
      <c r="A9" t="s">
        <v>60</v>
      </c>
      <c r="B9" s="18">
        <f>B8*(1+Assumptions!B12)/(Assumptions!B26-Assumptions!B12)</f>
        <v>49001998910.765625</v>
      </c>
    </row>
    <row r="10" spans="1:2" x14ac:dyDescent="0.25">
      <c r="A10" t="s">
        <v>61</v>
      </c>
      <c r="B10" s="18">
        <f>B9/(1+Assumptions!B26)^(5-0.5*Assumptions!B32)</f>
        <v>34902486274.60629</v>
      </c>
    </row>
    <row r="11" spans="1:2" x14ac:dyDescent="0.25">
      <c r="A11" t="s">
        <v>62</v>
      </c>
      <c r="B11" s="18">
        <f>Forecast!B17+B10</f>
        <v>52826546203.93838</v>
      </c>
    </row>
    <row r="12" spans="1:2" x14ac:dyDescent="0.25">
      <c r="A12" t="s">
        <v>63</v>
      </c>
      <c r="B12" s="18">
        <f>-Assumptions!B30</f>
        <v>-3004000000</v>
      </c>
    </row>
    <row r="13" spans="1:2" x14ac:dyDescent="0.25">
      <c r="A13" t="s">
        <v>64</v>
      </c>
      <c r="B13" s="18">
        <f>B11+B12</f>
        <v>49822546203.93838</v>
      </c>
    </row>
    <row r="14" spans="1:2" x14ac:dyDescent="0.25">
      <c r="A14" s="19" t="s">
        <v>65</v>
      </c>
      <c r="B14" s="24">
        <f>B13/Assumptions!B31</f>
        <v>98.85425834114757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5158347175.308917</v>
      </c>
    </row>
    <row r="18" spans="1:2" x14ac:dyDescent="0.25">
      <c r="A18" t="s">
        <v>60</v>
      </c>
      <c r="B18" s="18">
        <f>B17*Assumptions!B13</f>
        <v>70084819336.19618</v>
      </c>
    </row>
    <row r="19" spans="1:2" x14ac:dyDescent="0.25">
      <c r="A19" t="s">
        <v>61</v>
      </c>
      <c r="B19" s="18">
        <f>B18/(1+Assumptions!B26)^(5-0.5*Assumptions!B32)</f>
        <v>49919074717.63237</v>
      </c>
    </row>
    <row r="20" spans="1:2" x14ac:dyDescent="0.25">
      <c r="A20" t="s">
        <v>62</v>
      </c>
      <c r="B20" s="18">
        <f>Forecast!B17+B19</f>
        <v>67843134646.964455</v>
      </c>
    </row>
    <row r="21" spans="1:2" x14ac:dyDescent="0.25">
      <c r="A21" t="s">
        <v>63</v>
      </c>
      <c r="B21" s="18">
        <f>-Assumptions!B30</f>
        <v>-3004000000</v>
      </c>
    </row>
    <row r="22" spans="1:2" x14ac:dyDescent="0.25">
      <c r="A22" t="s">
        <v>64</v>
      </c>
      <c r="B22" s="18">
        <f>B20+B21</f>
        <v>64839134646.964455</v>
      </c>
    </row>
    <row r="23" spans="1:2" x14ac:dyDescent="0.25">
      <c r="A23" s="19" t="s">
        <v>65</v>
      </c>
      <c r="B23" s="25">
        <f>B22/Assumptions!B31</f>
        <v>128.64907668048502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181.83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98.85425834114757</v>
      </c>
    </row>
    <row r="29" spans="1:2" x14ac:dyDescent="0.25">
      <c r="A29" s="19" t="s">
        <v>73</v>
      </c>
      <c r="B29" s="12">
        <f>B28/B26-1</f>
        <v>-0.4563369172240689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0.058316</v>
      </c>
      <c r="B5" s="31">
        <v>128.90207366921115</v>
      </c>
      <c r="C5" s="31">
        <v>138.81816797364473</v>
      </c>
      <c r="D5" s="31">
        <v>151.67241445175478</v>
      </c>
      <c r="E5" s="31">
        <v>169.02125760859653</v>
      </c>
      <c r="F5" s="31">
        <v>193.7562290182384</v>
      </c>
    </row>
    <row r="6" spans="1:6" x14ac:dyDescent="0.25">
      <c r="A6" s="30">
        <v>0.068316</v>
      </c>
      <c r="B6" s="31">
        <v>106.50071625799907</v>
      </c>
      <c r="C6" s="31">
        <v>112.21909993951772</v>
      </c>
      <c r="D6" s="31">
        <v>119.22945751279495</v>
      </c>
      <c r="E6" s="31">
        <v>128.03757268115004</v>
      </c>
      <c r="F6" s="31">
        <v>139.4528572565102</v>
      </c>
    </row>
    <row r="7" spans="1:6" x14ac:dyDescent="0.25">
      <c r="A7" s="30">
        <v>0.078316</v>
      </c>
      <c r="B7" s="31">
        <v>91.10117618682801</v>
      </c>
      <c r="C7" s="31">
        <v>94.65546775952745</v>
      </c>
      <c r="D7" s="32">
        <v>98.85445025789649</v>
      </c>
      <c r="E7" s="31">
        <v>103.89827195341962</v>
      </c>
      <c r="F7" s="31">
        <v>110.07949420811812</v>
      </c>
    </row>
    <row r="8" spans="1:6" x14ac:dyDescent="0.25">
      <c r="A8" s="30">
        <v>0.088316</v>
      </c>
      <c r="B8" s="31">
        <v>79.84169931488573</v>
      </c>
      <c r="C8" s="31">
        <v>82.16333240064472</v>
      </c>
      <c r="D8" s="31">
        <v>84.83390391297769</v>
      </c>
      <c r="E8" s="31">
        <v>87.94316754552975</v>
      </c>
      <c r="F8" s="31">
        <v>91.61454556935062</v>
      </c>
    </row>
    <row r="9" spans="1:6" x14ac:dyDescent="0.25">
      <c r="A9" s="30">
        <v>0.098316</v>
      </c>
      <c r="B9" s="31">
        <v>71.2342768884555</v>
      </c>
      <c r="C9" s="31">
        <v>72.80313098728925</v>
      </c>
      <c r="D9" s="31">
        <v>74.57127142359862</v>
      </c>
      <c r="E9" s="31">
        <v>76.58245507808704</v>
      </c>
      <c r="F9" s="31">
        <v>78.89426057657872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45203000000</v>
      </c>
      <c r="C5" s="18">
        <v>48824000000</v>
      </c>
      <c r="D5" s="18">
        <v>48300000000</v>
      </c>
      <c r="E5" s="18">
        <v>57234000000</v>
      </c>
      <c r="F5" s="8" t="s">
        <v>84</v>
      </c>
    </row>
    <row r="6" spans="1:6" x14ac:dyDescent="0.25">
      <c r="A6" t="s">
        <v>44</v>
      </c>
      <c r="B6" s="18">
        <v>4114000000</v>
      </c>
      <c r="C6" s="18">
        <v>6107000000</v>
      </c>
      <c r="D6" s="18">
        <v>6171000000</v>
      </c>
      <c r="E6" s="18">
        <v>9287000000</v>
      </c>
      <c r="F6" s="8" t="s">
        <v>85</v>
      </c>
    </row>
    <row r="7" spans="1:6" x14ac:dyDescent="0.25">
      <c r="A7" t="s">
        <v>86</v>
      </c>
      <c r="B7" s="18">
        <v>2579000000</v>
      </c>
      <c r="C7" s="18">
        <v>1983000000</v>
      </c>
      <c r="D7" s="18">
        <v>1907000000</v>
      </c>
      <c r="E7" s="18">
        <v>1897000000</v>
      </c>
      <c r="F7" s="8" t="s">
        <v>87</v>
      </c>
    </row>
    <row r="8" spans="1:6" x14ac:dyDescent="0.25">
      <c r="A8" t="s">
        <v>88</v>
      </c>
      <c r="B8" s="18">
        <v>2005000000</v>
      </c>
      <c r="C8" s="18">
        <v>1867000000</v>
      </c>
      <c r="D8" s="18">
        <v>1785000000</v>
      </c>
      <c r="E8" s="18">
        <v>1526000000</v>
      </c>
      <c r="F8" s="8" t="s">
        <v>89</v>
      </c>
    </row>
    <row r="9" spans="1:6" x14ac:dyDescent="0.25">
      <c r="A9" t="s">
        <v>90</v>
      </c>
      <c r="B9" s="18">
        <v>-675000000</v>
      </c>
      <c r="C9" s="18">
        <v>495000000</v>
      </c>
      <c r="D9" s="18">
        <v>2701000000</v>
      </c>
      <c r="E9" s="18">
        <v>-1485000000</v>
      </c>
      <c r="F9" s="8" t="s">
        <v>91</v>
      </c>
    </row>
    <row r="10" spans="1:6" x14ac:dyDescent="0.25">
      <c r="A10" t="s">
        <v>92</v>
      </c>
      <c r="B10" s="18">
        <v>4146000000</v>
      </c>
      <c r="C10" s="18">
        <v>4155000000</v>
      </c>
      <c r="D10" s="18">
        <v>4243000000</v>
      </c>
      <c r="E10" s="18">
        <v>4306000000</v>
      </c>
      <c r="F10" s="8" t="s">
        <v>93</v>
      </c>
    </row>
    <row r="11" spans="1:6" x14ac:dyDescent="0.25">
      <c r="A11" t="s">
        <v>94</v>
      </c>
      <c r="B11" s="18">
        <v>1142000000</v>
      </c>
      <c r="C11" s="18">
        <v>979000000</v>
      </c>
      <c r="D11" s="18">
        <v>864000000</v>
      </c>
      <c r="E11" s="18">
        <v>3749000000</v>
      </c>
      <c r="F11" s="8" t="s">
        <v>95</v>
      </c>
    </row>
    <row r="12" spans="1:6" x14ac:dyDescent="0.25">
      <c r="A12" t="s">
        <v>32</v>
      </c>
      <c r="B12" s="34">
        <v>504000000</v>
      </c>
      <c r="C12" s="34">
        <v>530600000</v>
      </c>
      <c r="D12" s="34">
        <v>575900000</v>
      </c>
      <c r="E12" s="34">
        <v>641500000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2026-09-19T01:04:52Z</dcterms:modified>
</cp:coreProperties>
</file>