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<sst xmlns="http://schemas.openxmlformats.org/spreadsheetml/2006/main" count="119" uniqueCount="106">
  <si>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Incyte Corporation (INCY)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</si>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</sst>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0.17917574975074113</v>
      </c>
    </row>
    <row r="7" spans="1:2" x14ac:dyDescent="0.25">
      <c r="A7" t="s">
        <v>4</v>
      </c>
      <c r="B7" s="5">
        <v>0.15916957290604844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0.020385849127957264</v>
      </c>
    </row>
    <row r="10" spans="1:3" x14ac:dyDescent="0.25">
      <c r="A10" t="s">
        <v>7</v>
      </c>
      <c r="B10" s="5">
        <v>0.018926641981744353</v>
      </c>
      <c r="C10" s="6" t="s">
        <v>8</v>
      </c>
    </row>
    <row r="11" spans="1:2" x14ac:dyDescent="0.25">
      <c r="A11" t="s">
        <v>9</v>
      </c>
      <c r="B11" s="5">
        <v>0.17327781625966943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14.622625855456118</v>
      </c>
    </row>
    <row r="14" spans="1:3" x14ac:dyDescent="0.25">
      <c r="A14" t="s">
        <v>12</v>
      </c>
      <c r="B14" s="5">
        <v>0.10335452335026031</v>
      </c>
      <c r="C14" s="6" t="s">
        <v>13</v>
      </c>
    </row>
    <row r="15" spans="1:3" x14ac:dyDescent="0.25">
      <c r="A15" t="s">
        <v>14</v>
      </c>
      <c r="B15" s="5">
        <v>0.020385849127957264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0.8251299999999999</v>
      </c>
      <c r="C19" s="6" t="s">
        <v>21</v>
      </c>
    </row>
    <row r="20" spans="1:2" x14ac:dyDescent="0.25">
      <c r="A20" t="s">
        <v>22</v>
      </c>
      <c r="B20" s="9">
        <f>B17+B19*B18</f>
        <v>0.083842999</v>
      </c>
    </row>
    <row r="21" spans="1:3" x14ac:dyDescent="0.25">
      <c r="A21" t="s">
        <v>23</v>
      </c>
      <c r="B21" s="5">
        <v>0.05783982085854495</v>
      </c>
      <c r="C21" s="6" t="s">
        <v>24</v>
      </c>
    </row>
    <row r="22" spans="1:2" x14ac:dyDescent="0.25">
      <c r="A22" t="s">
        <v>25</v>
      </c>
      <c r="B22" s="10">
        <v>24539394048</v>
      </c>
    </row>
    <row r="23" spans="1:2" x14ac:dyDescent="0.25">
      <c r="A23" t="s">
        <v>26</v>
      </c>
      <c r="B23" s="10">
        <v>40412000</v>
      </c>
    </row>
    <row r="24" spans="1:2" x14ac:dyDescent="0.25">
      <c r="A24" t="s">
        <v>27</v>
      </c>
      <c r="B24" s="9">
        <f>B22/(B22+B23)</f>
        <v>0.9983558861318481</v>
      </c>
    </row>
    <row r="25" spans="1:2" x14ac:dyDescent="0.25">
      <c r="A25" t="s">
        <v>28</v>
      </c>
      <c r="B25" s="9">
        <f>1-B24</f>
        <v>0.0016441138681518863</v>
      </c>
    </row>
    <row r="26" spans="1:2" x14ac:dyDescent="0.25">
      <c r="A26" t="s">
        <v>29</v>
      </c>
      <c r="B26" s="11">
        <f>B24*B20+B25*B21*(1-B8)</f>
        <v>0.08378027681136457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5141242000</v>
      </c>
      <c r="C29" s="6" t="s">
        <v>32</v>
      </c>
    </row>
    <row r="30" spans="1:2" x14ac:dyDescent="0.25">
      <c r="A30" t="s">
        <v>33</v>
      </c>
      <c r="B30" s="10">
        <v>-3540192000</v>
      </c>
    </row>
    <row r="31" spans="1:2" x14ac:dyDescent="0.25">
      <c r="A31" t="s">
        <v>34</v>
      </c>
      <c r="B31" s="12">
        <v>200700000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0.17917574975074113</v>
      </c>
      <c r="C5" s="5">
        <v>0.03586041994142386</v>
      </c>
      <c r="D5" s="5">
        <v>0.03450286744874588</v>
      </c>
      <c r="E5" s="5">
        <v>0.033145314956067894</v>
      </c>
      <c r="F5" s="5">
        <v>0.031787762463389914</v>
      </c>
      <c r="G5" s="5">
        <v>0.03043020997071193</v>
      </c>
      <c r="H5" s="5">
        <v>0.029072657478033948</v>
      </c>
      <c r="I5" s="5">
        <v>0.027715104985355968</v>
      </c>
      <c r="J5" s="5">
        <v>0.026357552492677985</v>
      </c>
      <c r="K5" s="5">
        <v>0.025</v>
      </c>
    </row>
    <row r="6" spans="1:11" x14ac:dyDescent="0.25">
      <c r="A6" t="s">
        <v>50</v>
      </c>
      <c r="B6" s="18">
        <f>Assumptions!B29*(1+B5)</f>
        <v>6062427890</v>
      </c>
      <c r="C6" s="18">
        <f>B6*(1+C5)</f>
        <v>6279829100</v>
      </c>
      <c r="D6" s="18">
        <f>C6*(1+D5)</f>
        <v>6496501211.038077</v>
      </c>
      <c r="E6" s="18">
        <f>D6*(1+E5)</f>
        <v>6711829789.790411</v>
      </c>
      <c r="F6" s="18">
        <f>E6*(1+F5)</f>
        <v>6925183840.842974</v>
      </c>
      <c r="G6" s="18">
        <f>F6*(1+G5)</f>
        <v>7135918639.205606</v>
      </c>
      <c r="H6" s="18">
        <f>G6*(1+H5)</f>
        <v>7343378757.59435</v>
      </c>
      <c r="I6" s="18">
        <f>H6*(1+I5)</f>
        <v>7546901270.80831</v>
      </c>
      <c r="J6" s="18">
        <f>I6*(1+J5)</f>
        <v>7745819117.210698</v>
      </c>
      <c r="K6" s="18">
        <f>J6*(1+K5)</f>
        <v>7939464595.1409645</v>
      </c>
    </row>
    <row r="7" spans="1:11" x14ac:dyDescent="0.25">
      <c r="A7" t="s">
        <v>4</v>
      </c>
      <c r="B7" s="9">
        <f>Assumptions!B7</f>
        <v>0.15916957290604844</v>
      </c>
      <c r="C7" s="9">
        <f>Assumptions!B7</f>
        <v>0.15916957290604844</v>
      </c>
      <c r="D7" s="9">
        <f>Assumptions!B7</f>
        <v>0.15916957290604844</v>
      </c>
      <c r="E7" s="9">
        <f>Assumptions!B7</f>
        <v>0.15916957290604844</v>
      </c>
      <c r="F7" s="9">
        <f>Assumptions!B7</f>
        <v>0.15916957290604844</v>
      </c>
      <c r="G7" s="9">
        <f>Assumptions!B7</f>
        <v>0.15916957290604844</v>
      </c>
      <c r="H7" s="9">
        <f>Assumptions!B7</f>
        <v>0.15916957290604844</v>
      </c>
      <c r="I7" s="9">
        <f>Assumptions!B7</f>
        <v>0.15916957290604844</v>
      </c>
      <c r="J7" s="9">
        <f>Assumptions!B7</f>
        <v>0.15916957290604844</v>
      </c>
      <c r="K7" s="9">
        <f>Assumptions!B7</f>
        <v>0.15916957290604844</v>
      </c>
    </row>
    <row r="8" spans="1:11" x14ac:dyDescent="0.25">
      <c r="A8" t="s">
        <v>51</v>
      </c>
      <c r="B8" s="18">
        <f>B6*B7</f>
        <v>964954058.0250164</v>
      </c>
      <c r="C8" s="18">
        <f>C6*C7</f>
        <v>999557715.7699746</v>
      </c>
      <c r="D8" s="18">
        <f>D6*D7</f>
        <v>1034045323.1445572</v>
      </c>
      <c r="E8" s="18">
        <f>E6*E7</f>
        <v>1068319081.0590326</v>
      </c>
      <c r="F8" s="18">
        <f>F6*F7</f>
        <v>1102278554.2428443</v>
      </c>
      <c r="G8" s="18">
        <f>G6*G7</f>
        <v>1135821122.0946667</v>
      </c>
      <c r="H8" s="18">
        <f>H6*H7</f>
        <v>1168842460.5336413</v>
      </c>
      <c r="I8" s="18">
        <f>I6*I7</f>
        <v>1201237052.038673</v>
      </c>
      <c r="J8" s="18">
        <f>J6*J7</f>
        <v>1232898720.693932</v>
      </c>
      <c r="K8" s="18">
        <f>K6*K7</f>
        <v>1263721188.71128</v>
      </c>
    </row>
    <row r="9" spans="1:11" x14ac:dyDescent="0.25">
      <c r="A9" t="s">
        <v>52</v>
      </c>
      <c r="B9" s="18">
        <f>B8*(1-Assumptions!B8)</f>
        <v>762313705.839763</v>
      </c>
      <c r="C9" s="18">
        <f>C8*(1-Assumptions!B8)</f>
        <v>789650595.45828</v>
      </c>
      <c r="D9" s="18">
        <f>D8*(1-Assumptions!B8)</f>
        <v>816895805.2842003</v>
      </c>
      <c r="E9" s="18">
        <f>E8*(1-Assumptions!B8)</f>
        <v>843972074.0366358</v>
      </c>
      <c r="F9" s="18">
        <f>F8*(1-Assumptions!B8)</f>
        <v>870800057.851847</v>
      </c>
      <c r="G9" s="18">
        <f>G8*(1-Assumptions!B8)</f>
        <v>897298686.4547868</v>
      </c>
      <c r="H9" s="18">
        <f>H8*(1-Assumptions!B8)</f>
        <v>923385543.8215767</v>
      </c>
      <c r="I9" s="18">
        <f>I8*(1-Assumptions!B8)</f>
        <v>948977271.1105516</v>
      </c>
      <c r="J9" s="18">
        <f>J8*(1-Assumptions!B8)</f>
        <v>973989989.3482064</v>
      </c>
      <c r="K9" s="18">
        <f>K8*(1-Assumptions!B8)</f>
        <v>998339739.0819113</v>
      </c>
    </row>
    <row r="10" spans="1:11" x14ac:dyDescent="0.25">
      <c r="A10" t="s">
        <v>53</v>
      </c>
      <c r="B10" s="18">
        <f>B6*Assumptions!B9</f>
        <v>123587740.3146603</v>
      </c>
      <c r="C10" s="18">
        <f>C6*Assumptions!B9</f>
        <v>128019648.58195566</v>
      </c>
      <c r="D10" s="18">
        <f>D6*Assumptions!B9</f>
        <v>132436693.54781389</v>
      </c>
      <c r="E10" s="18">
        <f>E6*Assumptions!B9</f>
        <v>136826349.46719643</v>
      </c>
      <c r="F10" s="18">
        <f>F6*Assumptions!B9</f>
        <v>141175752.96279246</v>
      </c>
      <c r="G10" s="18">
        <f>G6*Assumptions!B9</f>
        <v>145471760.76822358</v>
      </c>
      <c r="H10" s="18">
        <f>H6*Assumptions!B9</f>
        <v>149701011.44176468</v>
      </c>
      <c r="I10" s="18">
        <f>I6*Assumptions!B9</f>
        <v>153849990.69028714</v>
      </c>
      <c r="J10" s="18">
        <f>J6*Assumptions!B9</f>
        <v>157905099.89590442</v>
      </c>
      <c r="K10" s="18">
        <f>K6*Assumptions!B9</f>
        <v>161852727.393302</v>
      </c>
    </row>
    <row r="11" spans="1:11" x14ac:dyDescent="0.25">
      <c r="A11" t="s">
        <v>54</v>
      </c>
      <c r="B11" s="18">
        <f>-B6*B19</f>
        <v>-114741402.21417184</v>
      </c>
      <c r="C11" s="18">
        <f>-C6*C19</f>
        <v>-141097066.188235</v>
      </c>
      <c r="D11" s="18">
        <f>-D6*D19</f>
        <v>-168973686.56538293</v>
      </c>
      <c r="E11" s="18">
        <f>-E6*E19</f>
        <v>-198345359.2019359</v>
      </c>
      <c r="F11" s="18">
        <f>-F6*F19</f>
        <v>-229176927.41681832</v>
      </c>
      <c r="G11" s="18">
        <f>-G6*G19</f>
        <v>-261423792.47441816</v>
      </c>
      <c r="H11" s="18">
        <f>-H6*H19</f>
        <v>-295031792.0832957</v>
      </c>
      <c r="I11" s="18">
        <f>-I6*I19</f>
        <v>-329937150.9666922</v>
      </c>
      <c r="J11" s="18">
        <f>-J6*J19</f>
        <v>-366066506.95055044</v>
      </c>
      <c r="K11" s="18">
        <f>-K6*K19</f>
        <v>-403337015.3374825</v>
      </c>
    </row>
    <row r="12" spans="1:11" x14ac:dyDescent="0.25">
      <c r="A12" t="s">
        <v>55</v>
      </c>
      <c r="B12" s="18">
        <f>-(B6-Assumptions!B29)*Assumptions!B11</f>
        <v>-159621079.38842005</v>
      </c>
      <c r="C12" s="18">
        <f>-(C6-B6)*Assumptions!B11</f>
        <v>-37670806.92100981</v>
      </c>
      <c r="D12" s="18">
        <f>-(D6-C6)*Assumptions!B11</f>
        <v>-37544470.24505066</v>
      </c>
      <c r="E12" s="18">
        <f>-(E6-D6)*Assumptions!B11</f>
        <v>-37311665.90450263</v>
      </c>
      <c r="F12" s="18">
        <f>-(F6-E6)*Assumptions!B11</f>
        <v>-36969524.05654209</v>
      </c>
      <c r="G12" s="18">
        <f>-(G6-F6)*Assumptions!B11</f>
        <v>-36515665.67019876</v>
      </c>
      <c r="H12" s="18">
        <f>-(H6-G6)*Assumptions!B11</f>
        <v>-35948236.27537394</v>
      </c>
      <c r="I12" s="18">
        <f>-(I6-H6)*Assumptions!B11</f>
        <v>-35265936.649394654</v>
      </c>
      <c r="J12" s="18">
        <f>-(J6-I6)*Assumptions!B11</f>
        <v>-34468050.03968223</v>
      </c>
      <c r="K12" s="18">
        <f>-(K6-J6)*Assumptions!B11</f>
        <v>-33554465.54431657</v>
      </c>
    </row>
    <row r="13" spans="1:11" x14ac:dyDescent="0.25">
      <c r="A13" s="19" t="s">
        <v>56</v>
      </c>
      <c r="B13" s="20">
        <f>B9+B10+B11+B12</f>
        <v>611538964.5518315</v>
      </c>
      <c r="C13" s="20">
        <f>C9+C10+C11+C12</f>
        <v>738902370.9309908</v>
      </c>
      <c r="D13" s="20">
        <f>D9+D10+D11+D12</f>
        <v>742814342.0215806</v>
      </c>
      <c r="E13" s="20">
        <f>E9+E10+E11+E12</f>
        <v>745141398.3973937</v>
      </c>
      <c r="F13" s="20">
        <f>F9+F10+F11+F12</f>
        <v>745829359.3412791</v>
      </c>
      <c r="G13" s="20">
        <f>G9+G10+G11+G12</f>
        <v>744830989.0783933</v>
      </c>
      <c r="H13" s="20">
        <f>H9+H10+H11+H12</f>
        <v>742106526.9046718</v>
      </c>
      <c r="I13" s="20">
        <f>I9+I10+I11+I12</f>
        <v>737624174.1847519</v>
      </c>
      <c r="J13" s="20">
        <f>J9+J10+J11+J12</f>
        <v>731360532.2538781</v>
      </c>
      <c r="K13" s="20">
        <f>K9+K10+K11+K12</f>
        <v>723300985.5934143</v>
      </c>
    </row>
    <row r="14" spans="1:11" x14ac:dyDescent="0.25">
      <c r="A14" t="s">
        <v>57</v>
      </c>
      <c r="B14" s="21">
        <f>1/(1+Assumptions!$B$26)^(1-0.5*Assumptions!$B$32)</f>
        <v>0.9605707951778798</v>
      </c>
      <c r="C14" s="21">
        <f>1/(1+Assumptions!$B$26)^(2-0.5*Assumptions!$B$32)</f>
        <v>0.8863150730183202</v>
      </c>
      <c r="D14" s="21">
        <f>1/(1+Assumptions!$B$26)^(3-0.5*Assumptions!$B$32)</f>
        <v>0.8177995964513998</v>
      </c>
      <c r="E14" s="21">
        <f>1/(1+Assumptions!$B$26)^(4-0.5*Assumptions!$B$32)</f>
        <v>0.7545806229815165</v>
      </c>
      <c r="F14" s="21">
        <f>1/(1+Assumptions!$B$26)^(5-0.5*Assumptions!$B$32)</f>
        <v>0.6962487130708818</v>
      </c>
      <c r="G14" s="21">
        <f>1/(1+Assumptions!$B$26)^(6-0.5*Assumptions!$B$32)</f>
        <v>0.6424260783923328</v>
      </c>
      <c r="H14" s="21">
        <f>1/(1+Assumptions!$B$26)^(7-0.5*Assumptions!$B$32)</f>
        <v>0.5927641350721399</v>
      </c>
      <c r="I14" s="21">
        <f>1/(1+Assumptions!$B$26)^(8-0.5*Assumptions!$B$32)</f>
        <v>0.5469412460763137</v>
      </c>
      <c r="J14" s="21">
        <f>1/(1+Assumptions!$B$26)^(9-0.5*Assumptions!$B$32)</f>
        <v>0.5046606381189115</v>
      </c>
      <c r="K14" s="21">
        <f>1/(1+Assumptions!$B$26)^(10-0.5*Assumptions!$B$32)</f>
        <v>0.4656484796011372</v>
      </c>
    </row>
    <row r="15" spans="1:11" x14ac:dyDescent="0.25">
      <c r="A15" s="19" t="s">
        <v>58</v>
      </c>
      <c r="B15" s="20">
        <f>B13*B14</f>
        <v>587426469.46181</v>
      </c>
      <c r="C15" s="20">
        <f>C13*C14</f>
        <v>654900308.8451111</v>
      </c>
      <c r="D15" s="20">
        <f>D13*D14</f>
        <v>607473269.1435606</v>
      </c>
      <c r="E15" s="20">
        <f>E13*E14</f>
        <v>562269260.6120237</v>
      </c>
      <c r="F15" s="20">
        <f>F13*F14</f>
        <v>519282731.61184585</v>
      </c>
      <c r="G15" s="20">
        <f>G13*G14</f>
        <v>478498851.3787147</v>
      </c>
      <c r="H15" s="20">
        <f>H13*H14</f>
        <v>439894133.5520375</v>
      </c>
      <c r="I15" s="20">
        <f>I13*I14</f>
        <v>403437084.96462005</v>
      </c>
      <c r="J15" s="20">
        <f>J13*J14</f>
        <v>369088872.9022289</v>
      </c>
      <c r="K15" s="20">
        <f>K13*K14</f>
        <v>336804004.2355774</v>
      </c>
    </row>
    <row r="17" spans="1:2" x14ac:dyDescent="0.25">
      <c r="A17" s="22" t="s">
        <v>59</v>
      </c>
      <c r="B17" s="23">
        <f>SUM(B15:K15)</f>
        <v>4959074986.70753</v>
      </c>
    </row>
    <row r="19" spans="1:11" x14ac:dyDescent="0.25">
      <c r="A19" t="s">
        <v>7</v>
      </c>
      <c r="B19" s="9">
        <f>Assumptions!$B$10+($B$20-Assumptions!$B$10)*0/9</f>
        <v>0.018926641981744353</v>
      </c>
      <c r="C19" s="9">
        <f>Assumptions!$B$10+($B$20-Assumptions!$B$10)*1/9</f>
        <v>0.022468297136977025</v>
      </c>
      <c r="D19" s="9">
        <f>Assumptions!$B$10+($B$20-Assumptions!$B$10)*2/9</f>
        <v>0.0260099522922097</v>
      </c>
      <c r="E19" s="9">
        <f>Assumptions!$B$10+($B$20-Assumptions!$B$10)*3/9</f>
        <v>0.029551607447442372</v>
      </c>
      <c r="F19" s="9">
        <f>Assumptions!$B$10+($B$20-Assumptions!$B$10)*4/9</f>
        <v>0.03309326260267505</v>
      </c>
      <c r="G19" s="9">
        <f>Assumptions!$B$10+($B$20-Assumptions!$B$10)*5/9</f>
        <v>0.03663491775790772</v>
      </c>
      <c r="H19" s="9">
        <f>Assumptions!$B$10+($B$20-Assumptions!$B$10)*6/9</f>
        <v>0.04017657291314039</v>
      </c>
      <c r="I19" s="9">
        <f>Assumptions!$B$10+($B$20-Assumptions!$B$10)*7/9</f>
        <v>0.04371822806837307</v>
      </c>
      <c r="J19" s="9">
        <f>Assumptions!$B$10+($B$20-Assumptions!$B$10)*8/9</f>
        <v>0.047259883223605734</v>
      </c>
      <c r="K19" s="9">
        <f>Assumptions!$B$10+($B$20-Assumptions!$B$10)*9/9</f>
        <v>0.05080153837883841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0.05080153837883841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723300985.5934143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998339739.0819113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0.24188588162007169</v>
      </c>
    </row>
    <row r="7" spans="1:2" x14ac:dyDescent="0.25">
      <c r="A7" t="s">
        <v>66</v>
      </c>
      <c r="B7" s="18">
        <f>-MAX(B5,0)*B6</f>
        <v>-241484287.94418046</v>
      </c>
    </row>
    <row r="8" spans="1:2" x14ac:dyDescent="0.25">
      <c r="A8" t="s">
        <v>67</v>
      </c>
      <c r="B8" s="18">
        <f>IF(OR(Assumptions!$B$33=0,Assumptions!B12&lt;=0),B5,MAX(B5+B7,0))</f>
        <v>756855451.1377308</v>
      </c>
    </row>
    <row r="9" spans="1:2" x14ac:dyDescent="0.25">
      <c r="A9" t="s">
        <v>68</v>
      </c>
      <c r="B9" s="18">
        <f>B8*(1+Assumptions!B12)/(Assumptions!B26-Assumptions!B12)</f>
        <v>13197910583.26873</v>
      </c>
    </row>
    <row r="10" spans="1:2" x14ac:dyDescent="0.25">
      <c r="A10" t="s">
        <v>69</v>
      </c>
      <c r="B10" s="18">
        <f>B9/(1+Assumptions!B26)^(10-0.5*Assumptions!B32)</f>
        <v>6145586997.010842</v>
      </c>
    </row>
    <row r="11" spans="1:2" x14ac:dyDescent="0.25">
      <c r="A11" t="s">
        <v>70</v>
      </c>
      <c r="B11" s="18">
        <f>Forecast!B17+B10</f>
        <v>11104661983.718372</v>
      </c>
    </row>
    <row r="12" spans="1:2" x14ac:dyDescent="0.25">
      <c r="A12" t="s">
        <v>71</v>
      </c>
      <c r="B12" s="18">
        <f>-Assumptions!B30</f>
        <v>3540192000</v>
      </c>
    </row>
    <row r="13" spans="1:2" x14ac:dyDescent="0.25">
      <c r="A13" t="s">
        <v>72</v>
      </c>
      <c r="B13" s="18">
        <f>B11+B12</f>
        <v>14644853983.718372</v>
      </c>
    </row>
    <row r="14" spans="1:2" x14ac:dyDescent="0.25">
      <c r="A14" s="19" t="s">
        <v>73</v>
      </c>
      <c r="B14" s="24">
        <f>B13/Assumptions!B31</f>
        <v>72.96887884264261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1425573916.104582</v>
      </c>
    </row>
    <row r="18" spans="1:2" x14ac:dyDescent="0.25">
      <c r="A18" t="s">
        <v>68</v>
      </c>
      <c r="B18" s="18">
        <f>B17*Assumptions!B13</f>
        <v>20845634004.494694</v>
      </c>
    </row>
    <row r="19" spans="1:2" x14ac:dyDescent="0.25">
      <c r="A19" t="s">
        <v>69</v>
      </c>
      <c r="B19" s="18">
        <f>B18/(1+Assumptions!B26)^(10-0.5*Assumptions!B32)</f>
        <v>9706737780.514719</v>
      </c>
    </row>
    <row r="20" spans="1:2" x14ac:dyDescent="0.25">
      <c r="A20" t="s">
        <v>70</v>
      </c>
      <c r="B20" s="18">
        <f>Forecast!B17+B19</f>
        <v>14665812767.222248</v>
      </c>
    </row>
    <row r="21" spans="1:2" x14ac:dyDescent="0.25">
      <c r="A21" t="s">
        <v>71</v>
      </c>
      <c r="B21" s="18">
        <f>-Assumptions!B30</f>
        <v>3540192000</v>
      </c>
    </row>
    <row r="22" spans="1:2" x14ac:dyDescent="0.25">
      <c r="A22" t="s">
        <v>72</v>
      </c>
      <c r="B22" s="18">
        <f>B20+B21</f>
        <v>18206004767.222248</v>
      </c>
    </row>
    <row r="23" spans="1:2" x14ac:dyDescent="0.25">
      <c r="A23" s="19" t="s">
        <v>73</v>
      </c>
      <c r="B23" s="25">
        <f>B22/Assumptions!B31</f>
        <v>90.71252998117713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120.39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72.96887884264261</v>
      </c>
    </row>
    <row r="29" spans="1:2" x14ac:dyDescent="0.25">
      <c r="A29" s="19" t="s">
        <v>81</v>
      </c>
      <c r="B29" s="11">
        <f>B28/B26-1</f>
        <v>-0.3938958481381958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0.06378</v>
      </c>
      <c r="B5" s="31">
        <v>95.15687569784686</v>
      </c>
      <c r="C5" s="31">
        <v>97.19129441670891</v>
      </c>
      <c r="D5" s="31">
        <v>99.90557606121492</v>
      </c>
      <c r="E5" s="31">
        <v>103.6016135823613</v>
      </c>
      <c r="F5" s="31">
        <v>108.79109350376196</v>
      </c>
    </row>
    <row r="6" spans="1:6" x14ac:dyDescent="0.25">
      <c r="A6" s="30">
        <v>0.07378</v>
      </c>
      <c r="B6" s="31">
        <v>82.11451432699822</v>
      </c>
      <c r="C6" s="31">
        <v>82.77469733788051</v>
      </c>
      <c r="D6" s="31">
        <v>83.6868898646051</v>
      </c>
      <c r="E6" s="31">
        <v>84.9374359623944</v>
      </c>
      <c r="F6" s="31">
        <v>86.6572098851414</v>
      </c>
    </row>
    <row r="7" spans="1:6" x14ac:dyDescent="0.25">
      <c r="A7" s="30">
        <v>0.08378</v>
      </c>
      <c r="B7" s="31">
        <v>72.86998920261861</v>
      </c>
      <c r="C7" s="31">
        <v>72.87346192473741</v>
      </c>
      <c r="D7" s="32">
        <v>72.96912528152913</v>
      </c>
      <c r="E7" s="31">
        <v>73.1826925403812</v>
      </c>
      <c r="F7" s="31">
        <v>73.55041951373529</v>
      </c>
    </row>
    <row r="8" spans="1:6" x14ac:dyDescent="0.25">
      <c r="A8" s="30">
        <v>0.09378</v>
      </c>
      <c r="B8" s="31">
        <v>65.97647000744779</v>
      </c>
      <c r="C8" s="31">
        <v>65.65167458501597</v>
      </c>
      <c r="D8" s="31">
        <v>65.35378007765041</v>
      </c>
      <c r="E8" s="31">
        <v>65.08911313517862</v>
      </c>
      <c r="F8" s="31">
        <v>64.86615306133326</v>
      </c>
    </row>
    <row r="9" spans="1:6" x14ac:dyDescent="0.25">
      <c r="A9" s="30">
        <v>0.10378</v>
      </c>
      <c r="B9" s="31">
        <v>60.65940567038625</v>
      </c>
      <c r="C9" s="31">
        <v>60.178245244744495</v>
      </c>
      <c r="D9" s="31">
        <v>59.697084819102734</v>
      </c>
      <c r="E9" s="31">
        <v>59.21592439346098</v>
      </c>
      <c r="F9" s="31">
        <v>58.734763967819205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5141242000</v>
      </c>
      <c r="C5" s="18">
        <v>4241217000</v>
      </c>
      <c r="D5" s="18">
        <v>3695649000</v>
      </c>
      <c r="E5" s="18">
        <v>3394635000</v>
      </c>
      <c r="F5" s="6" t="s">
        <v>91</v>
      </c>
    </row>
    <row r="6" spans="1:6" x14ac:dyDescent="0.25">
      <c r="A6" t="s">
        <v>51</v>
      </c>
      <c r="B6" s="18">
        <v>1342790000</v>
      </c>
      <c r="C6" s="18">
        <v>101294000</v>
      </c>
      <c r="D6" s="18">
        <v>655358000</v>
      </c>
      <c r="E6" s="18">
        <v>591626000</v>
      </c>
      <c r="F6" s="6" t="s">
        <v>92</v>
      </c>
    </row>
    <row r="7" spans="1:6" x14ac:dyDescent="0.25">
      <c r="A7" t="s">
        <v>93</v>
      </c>
      <c r="B7" s="18">
        <v>93286000</v>
      </c>
      <c r="C7" s="18">
        <v>89248000</v>
      </c>
      <c r="D7" s="18">
        <v>82660000</v>
      </c>
      <c r="E7" s="18">
        <v>67855000</v>
      </c>
      <c r="F7" s="6" t="s">
        <v>94</v>
      </c>
    </row>
    <row r="8" spans="1:6" x14ac:dyDescent="0.25">
      <c r="A8" t="s">
        <v>95</v>
      </c>
      <c r="B8" s="18">
        <v>83867000</v>
      </c>
      <c r="C8" s="18">
        <v>100163000</v>
      </c>
      <c r="D8" s="18">
        <v>47486000</v>
      </c>
      <c r="E8" s="18">
        <v>77833000</v>
      </c>
      <c r="F8" s="6" t="s">
        <v>96</v>
      </c>
    </row>
    <row r="9" spans="1:6" x14ac:dyDescent="0.25">
      <c r="A9" t="s">
        <v>97</v>
      </c>
      <c r="B9" s="18">
        <v>527162000</v>
      </c>
      <c r="C9" s="18">
        <v>-138244000</v>
      </c>
      <c r="D9" s="18">
        <v>248651000</v>
      </c>
      <c r="E9" s="18">
        <v>-198810000</v>
      </c>
      <c r="F9" s="6" t="s">
        <v>98</v>
      </c>
    </row>
    <row r="10" spans="1:6" x14ac:dyDescent="0.25">
      <c r="A10" t="s">
        <v>99</v>
      </c>
      <c r="B10" s="18">
        <v>40412000</v>
      </c>
      <c r="C10" s="18">
        <v>43544000</v>
      </c>
      <c r="D10" s="18">
        <v>38287000</v>
      </c>
      <c r="E10" s="18">
        <v>41457000</v>
      </c>
      <c r="F10" s="6" t="s">
        <v>100</v>
      </c>
    </row>
    <row r="11" spans="1:6" x14ac:dyDescent="0.25">
      <c r="A11" t="s">
        <v>101</v>
      </c>
      <c r="B11" s="18">
        <v>3580604000</v>
      </c>
      <c r="C11" s="18">
        <v>2158092000</v>
      </c>
      <c r="D11" s="18">
        <v>3656043000</v>
      </c>
      <c r="E11" s="18">
        <v>3238965000</v>
      </c>
      <c r="F11" s="6" t="s">
        <v>102</v>
      </c>
    </row>
    <row r="12" spans="1:6" x14ac:dyDescent="0.25">
      <c r="A12" t="s">
        <v>34</v>
      </c>
      <c r="B12" s="34">
        <v>200700000</v>
      </c>
      <c r="C12" s="34">
        <v>210530000</v>
      </c>
      <c r="D12" s="34">
        <v>225928000</v>
      </c>
      <c r="E12" s="34">
        <v>223958000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