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<sst xmlns="http://schemas.openxmlformats.org/spreadsheetml/2006/main" count="111" uniqueCount="99">
  <si>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Incyte Corporation (INCY)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</si>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</sst>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0.14839595478338863</v>
      </c>
    </row>
    <row r="7" spans="1:2" x14ac:dyDescent="0.25">
      <c r="A7" t="s">
        <v>5</v>
      </c>
      <c r="B7" s="6">
        <v>0.15916957290604844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0.020385849127957264</v>
      </c>
    </row>
    <row r="10" spans="1:2" x14ac:dyDescent="0.25">
      <c r="A10" t="s">
        <v>8</v>
      </c>
      <c r="B10" s="6">
        <v>0.018926641981744353</v>
      </c>
    </row>
    <row r="11" spans="1:2" x14ac:dyDescent="0.25">
      <c r="A11" t="s">
        <v>9</v>
      </c>
      <c r="B11" s="6">
        <v>0.5857192855754006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15.221939340257759</v>
      </c>
    </row>
    <row r="14" spans="1:3" x14ac:dyDescent="0.25">
      <c r="A14" t="s">
        <v>12</v>
      </c>
      <c r="B14" s="6">
        <v>0.10335452335026031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0.8459</v>
      </c>
      <c r="C19" s="8" t="s">
        <v>19</v>
      </c>
    </row>
    <row r="20" spans="1:2" x14ac:dyDescent="0.25">
      <c r="A20" t="s">
        <v>20</v>
      </c>
      <c r="B20" s="10">
        <f>B17+B19*B18</f>
        <v>0.0965045</v>
      </c>
    </row>
    <row r="21" spans="1:3" x14ac:dyDescent="0.25">
      <c r="A21" t="s">
        <v>21</v>
      </c>
      <c r="B21" s="6">
        <v>0.05783982085854495</v>
      </c>
      <c r="C21" s="8" t="s">
        <v>22</v>
      </c>
    </row>
    <row r="22" spans="1:2" x14ac:dyDescent="0.25">
      <c r="A22" t="s">
        <v>23</v>
      </c>
      <c r="B22" s="11">
        <v>25400053760</v>
      </c>
    </row>
    <row r="23" spans="1:2" x14ac:dyDescent="0.25">
      <c r="A23" t="s">
        <v>24</v>
      </c>
      <c r="B23" s="11">
        <v>40412000</v>
      </c>
    </row>
    <row r="24" spans="1:2" x14ac:dyDescent="0.25">
      <c r="A24" t="s">
        <v>25</v>
      </c>
      <c r="B24" s="10">
        <f>B22/(B22+B23)</f>
        <v>0.9984115070698297</v>
      </c>
    </row>
    <row r="25" spans="1:2" x14ac:dyDescent="0.25">
      <c r="A25" t="s">
        <v>26</v>
      </c>
      <c r="B25" s="10">
        <f>1-B24</f>
        <v>0.001588492930170271</v>
      </c>
    </row>
    <row r="26" spans="1:2" x14ac:dyDescent="0.25">
      <c r="A26" t="s">
        <v>27</v>
      </c>
      <c r="B26" s="12">
        <f>B24*B20+B25*B21*(1-B8)</f>
        <v>0.0964237870197681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5141242000</v>
      </c>
      <c r="C29" s="8" t="s">
        <v>30</v>
      </c>
    </row>
    <row r="30" spans="1:2" x14ac:dyDescent="0.25">
      <c r="A30" t="s">
        <v>31</v>
      </c>
      <c r="B30" s="11">
        <v>-3540192000</v>
      </c>
    </row>
    <row r="31" spans="1:2" x14ac:dyDescent="0.25">
      <c r="A31" t="s">
        <v>32</v>
      </c>
      <c r="B31" s="13">
        <v>200700000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0.14839595478338863</v>
      </c>
      <c r="C5" s="10">
        <f>Assumptions!B6</f>
        <v>0.14839595478338863</v>
      </c>
      <c r="D5" s="10">
        <f>Assumptions!B6</f>
        <v>0.14839595478338863</v>
      </c>
      <c r="E5" s="10">
        <f>Assumptions!B6</f>
        <v>0.14839595478338863</v>
      </c>
      <c r="F5" s="10">
        <f>Assumptions!B6</f>
        <v>0.14839595478338863</v>
      </c>
    </row>
    <row r="6" spans="1:6" x14ac:dyDescent="0.25">
      <c r="A6" t="s">
        <v>43</v>
      </c>
      <c r="B6" s="18">
        <f>Assumptions!B29*(1+B5)</f>
        <v>5904181515.362458</v>
      </c>
      <c r="C6" s="18">
        <f>B6*(1+C5)</f>
        <v>6780338168.549105</v>
      </c>
      <c r="D6" s="18">
        <f>C6*(1+D5)</f>
        <v>7786512924.825202</v>
      </c>
      <c r="E6" s="18">
        <f>D6*(1+E5)</f>
        <v>8941999944.737833</v>
      </c>
      <c r="F6" s="18">
        <f>E6*(1+F5)</f>
        <v>10268956564.210213</v>
      </c>
    </row>
    <row r="7" spans="1:6" x14ac:dyDescent="0.25">
      <c r="A7" t="s">
        <v>5</v>
      </c>
      <c r="B7" s="10">
        <f>Assumptions!B7</f>
        <v>0.15916957290604844</v>
      </c>
      <c r="C7" s="10">
        <f>Assumptions!B7</f>
        <v>0.15916957290604844</v>
      </c>
      <c r="D7" s="10">
        <f>Assumptions!B7</f>
        <v>0.15916957290604844</v>
      </c>
      <c r="E7" s="10">
        <f>Assumptions!B7</f>
        <v>0.15916957290604844</v>
      </c>
      <c r="F7" s="10">
        <f>Assumptions!B7</f>
        <v>0.15916957290604844</v>
      </c>
    </row>
    <row r="8" spans="1:6" x14ac:dyDescent="0.25">
      <c r="A8" t="s">
        <v>44</v>
      </c>
      <c r="B8" s="18">
        <f>B6*B7</f>
        <v>939766050.1600283</v>
      </c>
      <c r="C8" s="18">
        <f>C6*C7</f>
        <v>1079223530.4465396</v>
      </c>
      <c r="D8" s="18">
        <f>D6*D7</f>
        <v>1239375936.6718535</v>
      </c>
      <c r="E8" s="18">
        <f>E6*E7</f>
        <v>1423294312.1298296</v>
      </c>
      <c r="F8" s="18">
        <f>F6*F7</f>
        <v>1634505430.516102</v>
      </c>
    </row>
    <row r="9" spans="1:6" x14ac:dyDescent="0.25">
      <c r="A9" t="s">
        <v>45</v>
      </c>
      <c r="B9" s="18">
        <f>B8*(1-Assumptions!B8)</f>
        <v>742415179.6264224</v>
      </c>
      <c r="C9" s="18">
        <f>C8*(1-Assumptions!B8)</f>
        <v>852586589.0527663</v>
      </c>
      <c r="D9" s="18">
        <f>D8*(1-Assumptions!B8)</f>
        <v>979106989.9707644</v>
      </c>
      <c r="E9" s="18">
        <f>E8*(1-Assumptions!B8)</f>
        <v>1124402506.5825655</v>
      </c>
      <c r="F9" s="18">
        <f>F8*(1-Assumptions!B8)</f>
        <v>1291259290.1077206</v>
      </c>
    </row>
    <row r="10" spans="1:6" x14ac:dyDescent="0.25">
      <c r="A10" t="s">
        <v>46</v>
      </c>
      <c r="B10" s="18">
        <f>B6*Assumptions!B9</f>
        <v>120361753.59625317</v>
      </c>
      <c r="C10" s="18">
        <f>C6*Assumptions!B9</f>
        <v>138222950.9405721</v>
      </c>
      <c r="D10" s="18">
        <f>D6*Assumptions!B9</f>
        <v>158734677.7183758</v>
      </c>
      <c r="E10" s="18">
        <f>E6*Assumptions!B9</f>
        <v>182290261.77562764</v>
      </c>
      <c r="F10" s="18">
        <f>F6*Assumptions!B9</f>
        <v>209341399.2195358</v>
      </c>
    </row>
    <row r="11" spans="1:6" x14ac:dyDescent="0.25">
      <c r="A11" t="s">
        <v>47</v>
      </c>
      <c r="B11" s="18">
        <f>-B6*Assumptions!B10</f>
        <v>-111746329.7364981</v>
      </c>
      <c r="C11" s="18">
        <f>-C6*Assumptions!B10</f>
        <v>-128329033.0312851</v>
      </c>
      <c r="D11" s="18">
        <f>-D6*Assumptions!B10</f>
        <v>-147372542.4143917</v>
      </c>
      <c r="E11" s="18">
        <f>-E6*Assumptions!B10</f>
        <v>-169242031.55483076</v>
      </c>
      <c r="F11" s="18">
        <f>-F6*Assumptions!B10</f>
        <v>-194356864.41689026</v>
      </c>
    </row>
    <row r="12" spans="1:6" x14ac:dyDescent="0.25">
      <c r="A12" t="s">
        <v>48</v>
      </c>
      <c r="B12" s="18">
        <f>-(B6-Assumptions!B29)*Assumptions!B11</f>
        <v>-446868387.8753414</v>
      </c>
      <c r="C12" s="18">
        <f>-(C6-B6)*Assumptions!B11</f>
        <v>-513181848.95661664</v>
      </c>
      <c r="D12" s="18">
        <f>-(D6-C6)*Assumptions!B11</f>
        <v>-589335959.4100386</v>
      </c>
      <c r="E12" s="18">
        <f>-(E6-D6)*Assumptions!B11</f>
        <v>-676791031.794875</v>
      </c>
      <c r="F12" s="18">
        <f>-(F6-E6)*Assumptions!B11</f>
        <v>-777224083.146911</v>
      </c>
    </row>
    <row r="13" spans="1:6" x14ac:dyDescent="0.25">
      <c r="A13" s="19" t="s">
        <v>49</v>
      </c>
      <c r="B13" s="20">
        <f>B9+B10+B11+B12</f>
        <v>304162215.610836</v>
      </c>
      <c r="C13" s="20">
        <f>C9+C10+C11+C12</f>
        <v>349298658.00543666</v>
      </c>
      <c r="D13" s="20">
        <f>D9+D10+D11+D12</f>
        <v>401133165.86471</v>
      </c>
      <c r="E13" s="20">
        <f>E9+E10+E11+E12</f>
        <v>460659705.00848734</v>
      </c>
      <c r="F13" s="20">
        <f>F9+F10+F11+F12</f>
        <v>529019741.76345503</v>
      </c>
    </row>
    <row r="14" spans="1:6" x14ac:dyDescent="0.25">
      <c r="A14" t="s">
        <v>50</v>
      </c>
      <c r="B14" s="21">
        <f>1/(1+Assumptions!$B$26)^(1-0.5*Assumptions!$B$32)</f>
        <v>0.9550162810860107</v>
      </c>
      <c r="C14" s="21">
        <f>1/(1+Assumptions!$B$26)^(2-0.5*Assumptions!$B$32)</f>
        <v>0.8710284220318469</v>
      </c>
      <c r="D14" s="21">
        <f>1/(1+Assumptions!$B$26)^(3-0.5*Assumptions!$B$32)</f>
        <v>0.7944267830958165</v>
      </c>
      <c r="E14" s="21">
        <f>1/(1+Assumptions!$B$26)^(4-0.5*Assumptions!$B$32)</f>
        <v>0.7245617912533424</v>
      </c>
      <c r="F14" s="21">
        <f>1/(1+Assumptions!$B$26)^(5-0.5*Assumptions!$B$32)</f>
        <v>0.6608409994668228</v>
      </c>
    </row>
    <row r="15" spans="1:6" x14ac:dyDescent="0.25">
      <c r="A15" s="19" t="s">
        <v>51</v>
      </c>
      <c r="B15" s="20">
        <f>B13*B14</f>
        <v>290479867.99954194</v>
      </c>
      <c r="C15" s="20">
        <f>C13*C14</f>
        <v>304249058.90031725</v>
      </c>
      <c r="D15" s="20">
        <f>D13*D14</f>
        <v>318670930.5509421</v>
      </c>
      <c r="E15" s="20">
        <f>E13*E14</f>
        <v>333776421.0191859</v>
      </c>
      <c r="F15" s="20">
        <f>F13*F14</f>
        <v>349597934.8846421</v>
      </c>
    </row>
    <row r="17" spans="1:2" x14ac:dyDescent="0.25">
      <c r="A17" s="22" t="s">
        <v>52</v>
      </c>
      <c r="B17" s="23">
        <f>SUM(B15:F15)</f>
        <v>1596774213.3546295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529019741.76345503</v>
      </c>
    </row>
    <row r="5" spans="1:2" x14ac:dyDescent="0.25">
      <c r="A5" t="s">
        <v>56</v>
      </c>
      <c r="B5" s="18">
        <f>IF(Assumptions!$B$33=0,B4,B4-Forecast!F11-Forecast!F10-Forecast!F12)</f>
        <v>1291259290.1077206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0.24188588162007169</v>
      </c>
    </row>
    <row r="7" spans="1:2" x14ac:dyDescent="0.25">
      <c r="A7" t="s">
        <v>58</v>
      </c>
      <c r="B7" s="18">
        <f>-MAX(Forecast!F9,0)*B6</f>
        <v>-312337391.7878139</v>
      </c>
    </row>
    <row r="8" spans="1:2" x14ac:dyDescent="0.25">
      <c r="A8" t="s">
        <v>59</v>
      </c>
      <c r="B8" s="18">
        <f>IF(OR(Assumptions!$B$33=0,Assumptions!B12&lt;=0),B5,MAX(B5+B7,0))</f>
        <v>978921898.3199067</v>
      </c>
    </row>
    <row r="9" spans="1:2" x14ac:dyDescent="0.25">
      <c r="A9" t="s">
        <v>60</v>
      </c>
      <c r="B9" s="18">
        <f>B8*(1+Assumptions!B12)/(Assumptions!B26-Assumptions!B12)</f>
        <v>14048470231.635756</v>
      </c>
    </row>
    <row r="10" spans="1:2" x14ac:dyDescent="0.25">
      <c r="A10" t="s">
        <v>61</v>
      </c>
      <c r="B10" s="18">
        <f>B9/(1+Assumptions!B26)^(5-0.5*Assumptions!B32)</f>
        <v>9283805108.85408</v>
      </c>
    </row>
    <row r="11" spans="1:2" x14ac:dyDescent="0.25">
      <c r="A11" t="s">
        <v>62</v>
      </c>
      <c r="B11" s="18">
        <f>Forecast!B17+B10</f>
        <v>10880579322.20871</v>
      </c>
    </row>
    <row r="12" spans="1:2" x14ac:dyDescent="0.25">
      <c r="A12" t="s">
        <v>63</v>
      </c>
      <c r="B12" s="18">
        <f>-Assumptions!B30</f>
        <v>3540192000</v>
      </c>
    </row>
    <row r="13" spans="1:2" x14ac:dyDescent="0.25">
      <c r="A13" t="s">
        <v>64</v>
      </c>
      <c r="B13" s="18">
        <f>B11+B12</f>
        <v>14420771322.20871</v>
      </c>
    </row>
    <row r="14" spans="1:2" x14ac:dyDescent="0.25">
      <c r="A14" s="19" t="s">
        <v>65</v>
      </c>
      <c r="B14" s="24">
        <f>B13/Assumptions!B31</f>
        <v>71.85237330447788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1843846829.735638</v>
      </c>
    </row>
    <row r="18" spans="1:2" x14ac:dyDescent="0.25">
      <c r="A18" t="s">
        <v>60</v>
      </c>
      <c r="B18" s="18">
        <f>B17*Assumptions!B13</f>
        <v>28066924594.962456</v>
      </c>
    </row>
    <row r="19" spans="1:2" x14ac:dyDescent="0.25">
      <c r="A19" t="s">
        <v>61</v>
      </c>
      <c r="B19" s="18">
        <f>B18/(1+Assumptions!B26)^(5-0.5*Assumptions!B32)</f>
        <v>18547774501.29494</v>
      </c>
    </row>
    <row r="20" spans="1:2" x14ac:dyDescent="0.25">
      <c r="A20" t="s">
        <v>62</v>
      </c>
      <c r="B20" s="18">
        <f>Forecast!B17+B19</f>
        <v>20144548714.64957</v>
      </c>
    </row>
    <row r="21" spans="1:2" x14ac:dyDescent="0.25">
      <c r="A21" t="s">
        <v>63</v>
      </c>
      <c r="B21" s="18">
        <f>-Assumptions!B30</f>
        <v>3540192000</v>
      </c>
    </row>
    <row r="22" spans="1:2" x14ac:dyDescent="0.25">
      <c r="A22" t="s">
        <v>64</v>
      </c>
      <c r="B22" s="18">
        <f>B20+B21</f>
        <v>23684740714.64957</v>
      </c>
    </row>
    <row r="23" spans="1:2" x14ac:dyDescent="0.25">
      <c r="A23" s="19" t="s">
        <v>65</v>
      </c>
      <c r="B23" s="25">
        <f>B22/Assumptions!B31</f>
        <v>118.01066624140294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125.31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71.85237330447788</v>
      </c>
    </row>
    <row r="29" spans="1:2" x14ac:dyDescent="0.25">
      <c r="A29" s="19" t="s">
        <v>73</v>
      </c>
      <c r="B29" s="12">
        <f>B28/B26-1</f>
        <v>-0.4266030380298629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0.076424</v>
      </c>
      <c r="B5" s="31">
        <v>91.2351335734396</v>
      </c>
      <c r="C5" s="31">
        <v>93.32757691883606</v>
      </c>
      <c r="D5" s="31">
        <v>95.7834678365117</v>
      </c>
      <c r="E5" s="31">
        <v>98.72023941246071</v>
      </c>
      <c r="F5" s="31">
        <v>102.31202282363598</v>
      </c>
    </row>
    <row r="6" spans="1:6" x14ac:dyDescent="0.25">
      <c r="A6" s="30">
        <v>0.086424</v>
      </c>
      <c r="B6" s="31">
        <v>79.6129356846698</v>
      </c>
      <c r="C6" s="31">
        <v>80.65829609001806</v>
      </c>
      <c r="D6" s="31">
        <v>81.83894844926459</v>
      </c>
      <c r="E6" s="31">
        <v>83.19085936010678</v>
      </c>
      <c r="F6" s="31">
        <v>84.76398367385788</v>
      </c>
    </row>
    <row r="7" spans="1:6" x14ac:dyDescent="0.25">
      <c r="A7" s="30">
        <v>0.096424</v>
      </c>
      <c r="B7" s="31">
        <v>70.90331704679066</v>
      </c>
      <c r="C7" s="31">
        <v>71.36017105138322</v>
      </c>
      <c r="D7" s="32">
        <v>71.8521909286964</v>
      </c>
      <c r="E7" s="31">
        <v>72.38731790616025</v>
      </c>
      <c r="F7" s="31">
        <v>72.97607891953696</v>
      </c>
    </row>
    <row r="8" spans="1:6" x14ac:dyDescent="0.25">
      <c r="A8" s="30">
        <v>0.106424</v>
      </c>
      <c r="B8" s="31">
        <v>64.33730339699058</v>
      </c>
      <c r="C8" s="31">
        <v>64.52905957643969</v>
      </c>
      <c r="D8" s="31">
        <v>64.72081575588881</v>
      </c>
      <c r="E8" s="31">
        <v>64.91257193533792</v>
      </c>
      <c r="F8" s="31">
        <v>65.10432811478704</v>
      </c>
    </row>
    <row r="9" spans="1:6" x14ac:dyDescent="0.25">
      <c r="A9" s="30">
        <v>0.116424</v>
      </c>
      <c r="B9" s="31">
        <v>59.40451934557539</v>
      </c>
      <c r="C9" s="31">
        <v>59.57284966070663</v>
      </c>
      <c r="D9" s="31">
        <v>59.741179975837845</v>
      </c>
      <c r="E9" s="31">
        <v>59.90951029096909</v>
      </c>
      <c r="F9" s="31">
        <v>60.0778406061003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5141242000</v>
      </c>
      <c r="C5" s="18">
        <v>4241217000</v>
      </c>
      <c r="D5" s="18">
        <v>3695649000</v>
      </c>
      <c r="E5" s="18">
        <v>3394635000</v>
      </c>
      <c r="F5" s="8" t="s">
        <v>84</v>
      </c>
    </row>
    <row r="6" spans="1:6" x14ac:dyDescent="0.25">
      <c r="A6" t="s">
        <v>44</v>
      </c>
      <c r="B6" s="18">
        <v>1342790000</v>
      </c>
      <c r="C6" s="18">
        <v>101294000</v>
      </c>
      <c r="D6" s="18">
        <v>655358000</v>
      </c>
      <c r="E6" s="18">
        <v>591626000</v>
      </c>
      <c r="F6" s="8" t="s">
        <v>85</v>
      </c>
    </row>
    <row r="7" spans="1:6" x14ac:dyDescent="0.25">
      <c r="A7" t="s">
        <v>86</v>
      </c>
      <c r="B7" s="18">
        <v>93286000</v>
      </c>
      <c r="C7" s="18">
        <v>89248000</v>
      </c>
      <c r="D7" s="18">
        <v>82660000</v>
      </c>
      <c r="E7" s="18">
        <v>67855000</v>
      </c>
      <c r="F7" s="8" t="s">
        <v>87</v>
      </c>
    </row>
    <row r="8" spans="1:6" x14ac:dyDescent="0.25">
      <c r="A8" t="s">
        <v>88</v>
      </c>
      <c r="B8" s="18">
        <v>83867000</v>
      </c>
      <c r="C8" s="18">
        <v>100163000</v>
      </c>
      <c r="D8" s="18">
        <v>47486000</v>
      </c>
      <c r="E8" s="18">
        <v>77833000</v>
      </c>
      <c r="F8" s="8" t="s">
        <v>89</v>
      </c>
    </row>
    <row r="9" spans="1:6" x14ac:dyDescent="0.25">
      <c r="A9" t="s">
        <v>90</v>
      </c>
      <c r="B9" s="18">
        <v>527162000</v>
      </c>
      <c r="C9" s="18">
        <v>-138244000</v>
      </c>
      <c r="D9" s="18">
        <v>248651000</v>
      </c>
      <c r="E9" s="18">
        <v>-198810000</v>
      </c>
      <c r="F9" s="8" t="s">
        <v>91</v>
      </c>
    </row>
    <row r="10" spans="1:6" x14ac:dyDescent="0.25">
      <c r="A10" t="s">
        <v>92</v>
      </c>
      <c r="B10" s="18">
        <v>40412000</v>
      </c>
      <c r="C10" s="18">
        <v>43544000</v>
      </c>
      <c r="D10" s="18">
        <v>38287000</v>
      </c>
      <c r="E10" s="18">
        <v>41457000</v>
      </c>
      <c r="F10" s="8" t="s">
        <v>93</v>
      </c>
    </row>
    <row r="11" spans="1:6" x14ac:dyDescent="0.25">
      <c r="A11" t="s">
        <v>94</v>
      </c>
      <c r="B11" s="18">
        <v>3580604000</v>
      </c>
      <c r="C11" s="18">
        <v>2158092000</v>
      </c>
      <c r="D11" s="18">
        <v>3656043000</v>
      </c>
      <c r="E11" s="18">
        <v>3238965000</v>
      </c>
      <c r="F11" s="8" t="s">
        <v>95</v>
      </c>
    </row>
    <row r="12" spans="1:6" x14ac:dyDescent="0.25">
      <c r="A12" t="s">
        <v>32</v>
      </c>
      <c r="B12" s="34">
        <v>200700000</v>
      </c>
      <c r="C12" s="34">
        <v>210530000</v>
      </c>
      <c r="D12" s="34">
        <v>225928000</v>
      </c>
      <c r="E12" s="34">
        <v>223958000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