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<sst xmlns="http://schemas.openxmlformats.org/spreadsheetml/2006/main" count="113" uniqueCount="101">
  <si>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InterGlobe Aviation Limited (INDIGO.NS)</t>
  </si>
  <si>
    <t>DCF Studio - Base case</t>
  </si>
  <si>
    <t>Blue figures on a cream fill are inputs. Every other figure is a formula - change an input and the model reprices. Currency figures are INR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</si>
  <si>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</si>
  <si>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</si>
  <si>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</si>
  <si>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</si>
  <si>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</si>
  <si>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</si>
  <si>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</si>
  <si>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</si>
  <si>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</si>
  <si>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</si>
  <si>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</si>
  <si>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</si>
  <si>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</si>
  <si>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INR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</si>
  <si>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</si>
  <si>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</si>
  <si>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</si>
  <si>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</si>
  <si>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</si>
  <si>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</si>
  <si>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(INR m)</t>
  </si>
  <si>
    <t>Total debt (INR m)</t>
  </si>
  <si>
    <t>Equity weight</t>
  </si>
  <si>
    <t>Debt weight</t>
  </si>
  <si>
    <t>WACC</t>
  </si>
  <si>
    <t>Base year</t>
  </si>
  <si>
    <t>Revenue, last reported year (INR m)</t>
  </si>
  <si>
    <t>Fiscal year ended 2026-03-31</t>
  </si>
  <si>
    <t>Net debt (INR m)</t>
  </si>
  <si>
    <t>Diluted shares</t>
  </si>
  <si>
    <t>Mid-year discounting (1 = yes, 0 = no)</t>
  </si>
  <si>
    <t>Terminal year on a steady-state footing (1 = yes, 0 = no)</t>
  </si>
  <si>
    <t>Forecast cashflows (INR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</si>
  <si>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</si>
  <si>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</si>
  <si>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</si>
  <si>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</si>
  <si>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</si>
  <si>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</si>
  <si>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</si>
  <si>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</si>
  <si>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</si>
  <si>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</si>
  <si>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</si>
  <si>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</si>
  <si>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</si>
  <si>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</si>
  <si>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</si>
  <si>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</si>
  <si>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</si>
  <si>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(INR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</si>
  <si>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</si>
  <si>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</si>
  <si>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</si>
  <si>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</si>
  <si>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</si>
  <si>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</si>
  <si>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</si>
  <si>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</si>
  <si>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</si>
  <si>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</si>
  <si>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</si>
  <si>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</si>
  <si>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</si>
  <si>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</si>
  <si>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</si>
  <si>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(INR)</t>
  </si>
  <si>
    <t>Conversion, INR to INR</t>
  </si>
  <si>
    <t>Same currency, no conversion</t>
  </si>
  <si>
    <t>Value per share (INR)</t>
  </si>
  <si>
    <t>Implied upside</t>
  </si>
  <si>
    <t>Value per share (INR)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</si>
  <si>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</si>
  <si>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(INR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</si>
  <si>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</si>
  <si>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</si>
  <si>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</si>
  <si>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</si>
  <si>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</si>
  <si>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</si>
  <si>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</si>
  <si>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</si>
  <si>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</si>
  <si>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</si>
  <si>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</si>
  <si>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</si>
  <si>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</si>
  <si>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</si>
  <si>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</si>
  <si>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</si>
  <si>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</si>
  <si>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</si>
  <si>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</si>
  <si>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</si>
  <si>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</si>
  <si>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1.71% of revenue against depreciation of 10.80%. A business cannot depreciate more than it invests indefinitely. Capex has been set to 10.80% of revenue so the forecast is not handed free growth. Override it if the reported figure is right.</t>
  </si>
  <si>
    <t>Note: Risk-free rate is an assumption: INR assumption - no free live source available for this market.</t>
  </si>
  <si>
    <t>Data: Yahoo Finance. Risk-free rate: INR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</si>
</sst>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0.15551373629828658</v>
      </c>
    </row>
    <row r="7" spans="1:2" x14ac:dyDescent="0.25">
      <c r="A7" t="s">
        <v>5</v>
      </c>
      <c r="B7" s="6">
        <v>0.1271982659242205</v>
      </c>
    </row>
    <row r="8" spans="1:2" x14ac:dyDescent="0.25">
      <c r="A8" t="s">
        <v>6</v>
      </c>
      <c r="B8" s="6">
        <v>0.04411725972555114</v>
      </c>
    </row>
    <row r="9" spans="1:2" x14ac:dyDescent="0.25">
      <c r="A9" t="s">
        <v>7</v>
      </c>
      <c r="B9" s="6">
        <v>0.10826388382871346</v>
      </c>
    </row>
    <row r="10" spans="1:2" x14ac:dyDescent="0.25">
      <c r="A10" t="s">
        <v>8</v>
      </c>
      <c r="B10" s="6">
        <v>0.10800804401941289</v>
      </c>
    </row>
    <row r="11" spans="1:2" x14ac:dyDescent="0.25">
      <c r="A11" t="s">
        <v>9</v>
      </c>
      <c r="B11" s="6">
        <v>-0.40219633420427087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10.841426528647562</v>
      </c>
    </row>
    <row r="14" spans="1:3" x14ac:dyDescent="0.25">
      <c r="A14" t="s">
        <v>12</v>
      </c>
      <c r="B14" s="6">
        <v>0.6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0.068</v>
      </c>
      <c r="C17" s="8" t="s">
        <v>16</v>
      </c>
    </row>
    <row r="18" spans="1:2" x14ac:dyDescent="0.25">
      <c r="A18" t="s">
        <v>17</v>
      </c>
      <c r="B18" s="6">
        <v>0.08</v>
      </c>
    </row>
    <row r="19" spans="1:3" x14ac:dyDescent="0.25">
      <c r="A19" t="s">
        <v>18</v>
      </c>
      <c r="B19" s="9">
        <v>0.74339</v>
      </c>
      <c r="C19" s="8" t="s">
        <v>19</v>
      </c>
    </row>
    <row r="20" spans="1:2" x14ac:dyDescent="0.25">
      <c r="A20" t="s">
        <v>20</v>
      </c>
      <c r="B20" s="10">
        <f>B17+B19*B18</f>
        <v>0.1274712</v>
      </c>
    </row>
    <row r="21" spans="1:3" x14ac:dyDescent="0.25">
      <c r="A21" t="s">
        <v>21</v>
      </c>
      <c r="B21" s="6">
        <v>0.08150028708001578</v>
      </c>
      <c r="C21" s="8" t="s">
        <v>22</v>
      </c>
    </row>
    <row r="22" spans="1:2" x14ac:dyDescent="0.25">
      <c r="A22" t="s">
        <v>23</v>
      </c>
      <c r="B22" s="11">
        <v>1902399586304</v>
      </c>
    </row>
    <row r="23" spans="1:2" x14ac:dyDescent="0.25">
      <c r="A23" t="s">
        <v>24</v>
      </c>
      <c r="B23" s="11">
        <v>777492000000</v>
      </c>
    </row>
    <row r="24" spans="1:2" x14ac:dyDescent="0.25">
      <c r="A24" t="s">
        <v>25</v>
      </c>
      <c r="B24" s="10">
        <f>B22/(B22+B23)</f>
        <v>0.709879308561028</v>
      </c>
    </row>
    <row r="25" spans="1:2" x14ac:dyDescent="0.25">
      <c r="A25" t="s">
        <v>26</v>
      </c>
      <c r="B25" s="10">
        <f>1-B24</f>
        <v>0.290120691438972</v>
      </c>
    </row>
    <row r="26" spans="1:2" x14ac:dyDescent="0.25">
      <c r="A26" t="s">
        <v>27</v>
      </c>
      <c r="B26" s="12">
        <f>B24*B20+B25*B21*(1-B8)</f>
        <v>0.11309093789662006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827089000000</v>
      </c>
      <c r="C29" s="8" t="s">
        <v>30</v>
      </c>
    </row>
    <row r="30" spans="1:2" x14ac:dyDescent="0.25">
      <c r="A30" t="s">
        <v>31</v>
      </c>
      <c r="B30" s="11">
        <v>384144000000</v>
      </c>
    </row>
    <row r="31" spans="1:2" x14ac:dyDescent="0.25">
      <c r="A31" t="s">
        <v>32</v>
      </c>
      <c r="B31" s="13">
        <v>386547419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0.15551373629828658</v>
      </c>
      <c r="C5" s="10">
        <f>Assumptions!B6</f>
        <v>0.15551373629828658</v>
      </c>
      <c r="D5" s="10">
        <f>Assumptions!B6</f>
        <v>0.15551373629828658</v>
      </c>
      <c r="E5" s="10">
        <f>Assumptions!B6</f>
        <v>0.15551373629828658</v>
      </c>
      <c r="F5" s="10">
        <f>Assumptions!B6</f>
        <v>0.15551373629828658</v>
      </c>
    </row>
    <row r="6" spans="1:6" x14ac:dyDescent="0.25">
      <c r="A6" t="s">
        <v>43</v>
      </c>
      <c r="B6" s="18">
        <f>Assumptions!B29*(1+B5)</f>
        <v>955712700641.2135</v>
      </c>
      <c r="C6" s="18">
        <f>B6*(1+C5)</f>
        <v>1104339153545.6545</v>
      </c>
      <c r="D6" s="18">
        <f>C6*(1+D5)</f>
        <v>1276079061454.0264</v>
      </c>
      <c r="E6" s="18">
        <f>D6*(1+E5)</f>
        <v>1474526884112.753</v>
      </c>
      <c r="F6" s="18">
        <f>E6*(1+F5)</f>
        <v>1703836069133.3977</v>
      </c>
    </row>
    <row r="7" spans="1:6" x14ac:dyDescent="0.25">
      <c r="A7" t="s">
        <v>5</v>
      </c>
      <c r="B7" s="10">
        <f>Assumptions!B7</f>
        <v>0.1271982659242205</v>
      </c>
      <c r="C7" s="10">
        <f>Assumptions!B7</f>
        <v>0.1271982659242205</v>
      </c>
      <c r="D7" s="10">
        <f>Assumptions!B7</f>
        <v>0.1271982659242205</v>
      </c>
      <c r="E7" s="10">
        <f>Assumptions!B7</f>
        <v>0.1271982659242205</v>
      </c>
      <c r="F7" s="10">
        <f>Assumptions!B7</f>
        <v>0.1271982659242205</v>
      </c>
    </row>
    <row r="8" spans="1:6" x14ac:dyDescent="0.25">
      <c r="A8" t="s">
        <v>44</v>
      </c>
      <c r="B8" s="18">
        <f>B6*B7</f>
        <v>121564998243.31602</v>
      </c>
      <c r="C8" s="18">
        <f>C6*C7</f>
        <v>140470025323.22876</v>
      </c>
      <c r="D8" s="18">
        <f>D6*D7</f>
        <v>162315043799.15897</v>
      </c>
      <c r="E8" s="18">
        <f>E6*E7</f>
        <v>187557262717.78622</v>
      </c>
      <c r="F8" s="18">
        <f>F6*F7</f>
        <v>216724993412.90848</v>
      </c>
    </row>
    <row r="9" spans="1:6" x14ac:dyDescent="0.25">
      <c r="A9" t="s">
        <v>45</v>
      </c>
      <c r="B9" s="18">
        <f>B8*(1-Assumptions!B8)</f>
        <v>116201883642.27948</v>
      </c>
      <c r="C9" s="18">
        <f>C8*(1-Assumptions!B8)</f>
        <v>134272872732.38913</v>
      </c>
      <c r="D9" s="18">
        <f>D8*(1-Assumptions!B8)</f>
        <v>155154148854.50726</v>
      </c>
      <c r="E9" s="18">
        <f>E8*(1-Assumptions!B8)</f>
        <v>179282750245.05222</v>
      </c>
      <c r="F9" s="18">
        <f>F8*(1-Assumptions!B8)</f>
        <v>207163680589.49283</v>
      </c>
    </row>
    <row r="10" spans="1:6" x14ac:dyDescent="0.25">
      <c r="A10" t="s">
        <v>46</v>
      </c>
      <c r="B10" s="18">
        <f>B6*Assumptions!B9</f>
        <v>103469168795.84634</v>
      </c>
      <c r="C10" s="18">
        <f>C6*Assumptions!B9</f>
        <v>119560045826.9665</v>
      </c>
      <c r="D10" s="18">
        <f>D6*Assumptions!B9</f>
        <v>138153275265.51242</v>
      </c>
      <c r="E10" s="18">
        <f>E6*Assumptions!B9</f>
        <v>159638007283.89792</v>
      </c>
      <c r="F10" s="18">
        <f>F6*Assumptions!B9</f>
        <v>184463910251.83</v>
      </c>
    </row>
    <row r="11" spans="1:6" x14ac:dyDescent="0.25">
      <c r="A11" t="s">
        <v>47</v>
      </c>
      <c r="B11" s="18">
        <f>-B6*Assumptions!B10</f>
        <v>-103224659440.76816</v>
      </c>
      <c r="C11" s="18">
        <f>-C6*Assumptions!B10</f>
        <v>-119277511908.52022</v>
      </c>
      <c r="D11" s="18">
        <f>-D6*Assumptions!B10</f>
        <v>-137826803441.77756</v>
      </c>
      <c r="E11" s="18">
        <f>-E6*Assumptions!B10</f>
        <v>-159260764607.05795</v>
      </c>
      <c r="F11" s="18">
        <f>-F6*Assumptions!B10</f>
        <v>-184028001156.82343</v>
      </c>
    </row>
    <row r="12" spans="1:6" x14ac:dyDescent="0.25">
      <c r="A12" t="s">
        <v>48</v>
      </c>
      <c r="B12" s="18">
        <f>-(B6-Assumptions!B29)*Assumptions!B11</f>
        <v>51731980889.68359</v>
      </c>
      <c r="C12" s="18">
        <f>-(C6-B6)*Assumptions!B11</f>
        <v>59777014523.94989</v>
      </c>
      <c r="D12" s="18">
        <f>-(D6-C6)*Assumptions!B11</f>
        <v>69073161397.32622</v>
      </c>
      <c r="E12" s="18">
        <f>-(E6-D6)*Assumptions!B11</f>
        <v>79814986804.15907</v>
      </c>
      <c r="F12" s="18">
        <f>-(F6-E6)*Assumptions!B11</f>
        <v>92227313614.67223</v>
      </c>
    </row>
    <row r="13" spans="1:6" x14ac:dyDescent="0.25">
      <c r="A13" s="19" t="s">
        <v>49</v>
      </c>
      <c r="B13" s="20">
        <f>B9+B10+B11+B12</f>
        <v>168178373887.04126</v>
      </c>
      <c r="C13" s="20">
        <f>C9+C10+C11+C12</f>
        <v>194332421174.78534</v>
      </c>
      <c r="D13" s="20">
        <f>D9+D10+D11+D12</f>
        <v>224553782075.5683</v>
      </c>
      <c r="E13" s="20">
        <f>E9+E10+E11+E12</f>
        <v>259474979726.05127</v>
      </c>
      <c r="F13" s="20">
        <f>F9+F10+F11+F12</f>
        <v>299826903299.17163</v>
      </c>
    </row>
    <row r="14" spans="1:6" x14ac:dyDescent="0.25">
      <c r="A14" t="s">
        <v>50</v>
      </c>
      <c r="B14" s="21">
        <f>1/(1+Assumptions!$B$26)^(1-0.5*Assumptions!$B$32)</f>
        <v>0.9478392230187588</v>
      </c>
      <c r="C14" s="21">
        <f>1/(1+Assumptions!$B$26)^(2-0.5*Assumptions!$B$32)</f>
        <v>0.8515379927626281</v>
      </c>
      <c r="D14" s="21">
        <f>1/(1+Assumptions!$B$26)^(3-0.5*Assumptions!$B$32)</f>
        <v>0.7650210452451961</v>
      </c>
      <c r="E14" s="21">
        <f>1/(1+Assumptions!$B$26)^(4-0.5*Assumptions!$B$32)</f>
        <v>0.6872942894412897</v>
      </c>
      <c r="F14" s="21">
        <f>1/(1+Assumptions!$B$26)^(5-0.5*Assumptions!$B$32)</f>
        <v>0.6174646347764292</v>
      </c>
    </row>
    <row r="15" spans="1:6" x14ac:dyDescent="0.25">
      <c r="A15" s="19" t="s">
        <v>51</v>
      </c>
      <c r="B15" s="20">
        <f>B13*B14</f>
        <v>159406059233.6515</v>
      </c>
      <c r="C15" s="20">
        <f>C13*C14</f>
        <v>165481439855.87836</v>
      </c>
      <c r="D15" s="20">
        <f>D13*D14</f>
        <v>171788369077.21323</v>
      </c>
      <c r="E15" s="20">
        <f>E13*E14</f>
        <v>178335671818.60947</v>
      </c>
      <c r="F15" s="20">
        <f>F13*F14</f>
        <v>185132509341.77078</v>
      </c>
    </row>
    <row r="17" spans="1:2" x14ac:dyDescent="0.25">
      <c r="A17" s="22" t="s">
        <v>52</v>
      </c>
      <c r="B17" s="23">
        <f>SUM(B15:F15)</f>
        <v>860144049327.1233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299826903299.17163</v>
      </c>
    </row>
    <row r="5" spans="1:2" x14ac:dyDescent="0.25">
      <c r="A5" t="s">
        <v>56</v>
      </c>
      <c r="B5" s="18">
        <f>IF(Assumptions!$B$33=0,B4,B4-Forecast!F11-Forecast!F10-Forecast!F12)</f>
        <v>207580358569.73825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0.04166666666666667</v>
      </c>
    </row>
    <row r="7" spans="1:2" x14ac:dyDescent="0.25">
      <c r="A7" t="s">
        <v>58</v>
      </c>
      <c r="B7" s="18">
        <f>-MAX(Forecast!F9,0)*B6</f>
        <v>-8649181607.072428</v>
      </c>
    </row>
    <row r="8" spans="1:2" x14ac:dyDescent="0.25">
      <c r="A8" t="s">
        <v>59</v>
      </c>
      <c r="B8" s="18">
        <f>IF(OR(Assumptions!$B$33=0,Assumptions!B12&lt;=0),B5,MAX(B5+B7,0))</f>
        <v>198931176962.66583</v>
      </c>
    </row>
    <row r="9" spans="1:2" x14ac:dyDescent="0.25">
      <c r="A9" t="s">
        <v>60</v>
      </c>
      <c r="B9" s="18">
        <f>B8*(1+Assumptions!B12)/(Assumptions!B26-Assumptions!B12)</f>
        <v>2314704114355.3994</v>
      </c>
    </row>
    <row r="10" spans="1:2" x14ac:dyDescent="0.25">
      <c r="A10" t="s">
        <v>61</v>
      </c>
      <c r="B10" s="18">
        <f>B9/(1+Assumptions!B26)^(5-0.5*Assumptions!B32)</f>
        <v>1429247930585.9548</v>
      </c>
    </row>
    <row r="11" spans="1:2" x14ac:dyDescent="0.25">
      <c r="A11" t="s">
        <v>62</v>
      </c>
      <c r="B11" s="18">
        <f>Forecast!B17+B10</f>
        <v>2289391979913.078</v>
      </c>
    </row>
    <row r="12" spans="1:2" x14ac:dyDescent="0.25">
      <c r="A12" t="s">
        <v>63</v>
      </c>
      <c r="B12" s="18">
        <f>-Assumptions!B30</f>
        <v>-384144000000</v>
      </c>
    </row>
    <row r="13" spans="1:2" x14ac:dyDescent="0.25">
      <c r="A13" t="s">
        <v>64</v>
      </c>
      <c r="B13" s="18">
        <f>B11+B12</f>
        <v>1905247979913.0781</v>
      </c>
    </row>
    <row r="14" spans="1:2" x14ac:dyDescent="0.25">
      <c r="A14" s="19" t="s">
        <v>65</v>
      </c>
      <c r="B14" s="24">
        <f>B13/Assumptions!B31</f>
        <v>4928.885529340653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401188903664.73846</v>
      </c>
    </row>
    <row r="18" spans="1:2" x14ac:dyDescent="0.25">
      <c r="A18" t="s">
        <v>60</v>
      </c>
      <c r="B18" s="18">
        <f>B17*Assumptions!B13</f>
        <v>4349460023189.9263</v>
      </c>
    </row>
    <row r="19" spans="1:2" x14ac:dyDescent="0.25">
      <c r="A19" t="s">
        <v>61</v>
      </c>
      <c r="B19" s="18">
        <f>B18/(1+Assumptions!B26)^(5-0.5*Assumptions!B32)</f>
        <v>2685637744693.647</v>
      </c>
    </row>
    <row r="20" spans="1:2" x14ac:dyDescent="0.25">
      <c r="A20" t="s">
        <v>62</v>
      </c>
      <c r="B20" s="18">
        <f>Forecast!B17+B19</f>
        <v>3545781794020.7705</v>
      </c>
    </row>
    <row r="21" spans="1:2" x14ac:dyDescent="0.25">
      <c r="A21" t="s">
        <v>63</v>
      </c>
      <c r="B21" s="18">
        <f>-Assumptions!B30</f>
        <v>-384144000000</v>
      </c>
    </row>
    <row r="22" spans="1:2" x14ac:dyDescent="0.25">
      <c r="A22" t="s">
        <v>64</v>
      </c>
      <c r="B22" s="18">
        <f>B20+B21</f>
        <v>3161637794020.7705</v>
      </c>
    </row>
    <row r="23" spans="1:2" x14ac:dyDescent="0.25">
      <c r="A23" s="19" t="s">
        <v>65</v>
      </c>
      <c r="B23" s="25">
        <f>B22/Assumptions!B31</f>
        <v>8179.171916863246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4920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4928.885529340653</v>
      </c>
    </row>
    <row r="29" spans="1:2" x14ac:dyDescent="0.25">
      <c r="A29" s="19" t="s">
        <v>73</v>
      </c>
      <c r="B29" s="12">
        <f>B28/B26-1</f>
        <v>0.0018060018985066595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0.093091</v>
      </c>
      <c r="B5" s="31">
        <v>5897.839033414306</v>
      </c>
      <c r="C5" s="31">
        <v>6191.888914152966</v>
      </c>
      <c r="D5" s="31">
        <v>6528.683322390902</v>
      </c>
      <c r="E5" s="31">
        <v>6918.384847284878</v>
      </c>
      <c r="F5" s="31">
        <v>7374.65492950282</v>
      </c>
    </row>
    <row r="6" spans="1:6" x14ac:dyDescent="0.25">
      <c r="A6" s="30">
        <v>0.103091</v>
      </c>
      <c r="B6" s="31">
        <v>5163.372160975025</v>
      </c>
      <c r="C6" s="31">
        <v>5381.753174627152</v>
      </c>
      <c r="D6" s="31">
        <v>5627.730617573936</v>
      </c>
      <c r="E6" s="31">
        <v>5906.967929081775</v>
      </c>
      <c r="F6" s="31">
        <v>6226.792039705598</v>
      </c>
    </row>
    <row r="7" spans="1:6" x14ac:dyDescent="0.25">
      <c r="A7" s="30">
        <v>0.113091</v>
      </c>
      <c r="B7" s="31">
        <v>4576.728576331002</v>
      </c>
      <c r="C7" s="31">
        <v>4743.4963127712535</v>
      </c>
      <c r="D7" s="32">
        <v>4928.881674666426</v>
      </c>
      <c r="E7" s="31">
        <v>5136.245608229999</v>
      </c>
      <c r="F7" s="31">
        <v>5369.809836516174</v>
      </c>
    </row>
    <row r="8" spans="1:6" x14ac:dyDescent="0.25">
      <c r="A8" s="30">
        <v>0.123091</v>
      </c>
      <c r="B8" s="31">
        <v>4096.99658218771</v>
      </c>
      <c r="C8" s="31">
        <v>4227.228602620768</v>
      </c>
      <c r="D8" s="31">
        <v>4370.466690105765</v>
      </c>
      <c r="E8" s="31">
        <v>4528.80654675977</v>
      </c>
      <c r="F8" s="31">
        <v>4704.819678611032</v>
      </c>
    </row>
    <row r="9" spans="1:6" x14ac:dyDescent="0.25">
      <c r="A9" s="30">
        <v>0.133091</v>
      </c>
      <c r="B9" s="31">
        <v>3697.1145951825047</v>
      </c>
      <c r="C9" s="31">
        <v>3800.697920959567</v>
      </c>
      <c r="D9" s="31">
        <v>3913.628270245088</v>
      </c>
      <c r="E9" s="31">
        <v>4037.2656584878187</v>
      </c>
      <c r="F9" s="31">
        <v>4173.247397819941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827089000000</v>
      </c>
      <c r="C5" s="18">
        <v>776186000000</v>
      </c>
      <c r="D5" s="18">
        <v>673868000000</v>
      </c>
      <c r="E5" s="18">
        <v>536076670000</v>
      </c>
      <c r="F5" s="8" t="s">
        <v>84</v>
      </c>
    </row>
    <row r="6" spans="1:6" x14ac:dyDescent="0.25">
      <c r="A6" t="s">
        <v>44</v>
      </c>
      <c r="B6" s="18">
        <v>102826000000</v>
      </c>
      <c r="C6" s="18">
        <v>110908000000</v>
      </c>
      <c r="D6" s="18">
        <v>107186000000</v>
      </c>
      <c r="E6" s="18">
        <v>44237600000</v>
      </c>
      <c r="F6" s="8" t="s">
        <v>85</v>
      </c>
    </row>
    <row r="7" spans="1:6" x14ac:dyDescent="0.25">
      <c r="A7" t="s">
        <v>86</v>
      </c>
      <c r="B7" s="18">
        <v>108082000000</v>
      </c>
      <c r="C7" s="18">
        <v>86802000000</v>
      </c>
      <c r="D7" s="18">
        <v>64257000000</v>
      </c>
      <c r="E7" s="18">
        <v>51029690000</v>
      </c>
      <c r="F7" s="8" t="s">
        <v>87</v>
      </c>
    </row>
    <row r="8" spans="1:6" x14ac:dyDescent="0.25">
      <c r="A8" t="s">
        <v>88</v>
      </c>
      <c r="B8" s="18">
        <v>17101000000</v>
      </c>
      <c r="C8" s="18">
        <v>16048000000</v>
      </c>
      <c r="D8" s="18">
        <v>11026000000</v>
      </c>
      <c r="E8" s="18">
        <v>5698040000</v>
      </c>
      <c r="F8" s="8" t="s">
        <v>89</v>
      </c>
    </row>
    <row r="9" spans="1:6" x14ac:dyDescent="0.25">
      <c r="A9" t="s">
        <v>90</v>
      </c>
      <c r="B9" s="18">
        <v>-20473000000</v>
      </c>
      <c r="C9" s="18">
        <v>-45177000000</v>
      </c>
      <c r="D9" s="18">
        <v>-43503000000</v>
      </c>
      <c r="E9" s="18">
        <v>-31326440000</v>
      </c>
      <c r="F9" s="8" t="s">
        <v>91</v>
      </c>
    </row>
    <row r="10" spans="1:6" x14ac:dyDescent="0.25">
      <c r="A10" t="s">
        <v>92</v>
      </c>
      <c r="B10" s="18">
        <v>777492000000</v>
      </c>
      <c r="C10" s="18">
        <v>668098000000</v>
      </c>
      <c r="D10" s="18">
        <v>512801000000</v>
      </c>
      <c r="E10" s="18">
        <v>448542130000</v>
      </c>
      <c r="F10" s="8" t="s">
        <v>93</v>
      </c>
    </row>
    <row r="11" spans="1:6" x14ac:dyDescent="0.25">
      <c r="A11" t="s">
        <v>94</v>
      </c>
      <c r="B11" s="18">
        <v>393348000000</v>
      </c>
      <c r="C11" s="18">
        <v>333069000000</v>
      </c>
      <c r="D11" s="18">
        <v>212220000000</v>
      </c>
      <c r="E11" s="18">
        <v>141795040000</v>
      </c>
      <c r="F11" s="8" t="s">
        <v>95</v>
      </c>
    </row>
    <row r="12" spans="1:6" x14ac:dyDescent="0.25">
      <c r="A12" t="s">
        <v>32</v>
      </c>
      <c r="B12" s="34">
        <v>386547419</v>
      </c>
      <c r="C12" s="34">
        <v>386761545</v>
      </c>
      <c r="D12" s="34">
        <v>386211537</v>
      </c>
      <c r="E12" s="34">
        <v>385401771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2026-09-19T00:08:43Z</dcterms:modified>
</cp:coreProperties>
</file>