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<sst xmlns="http://schemas.openxmlformats.org/spreadsheetml/2006/main" count="112" uniqueCount="100">
  <si>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Informa plc (INF.L)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</si>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</sst>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0.21335387561892705</v>
      </c>
    </row>
    <row r="7" spans="1:2" x14ac:dyDescent="0.25">
      <c r="A7" t="s">
        <v>5</v>
      </c>
      <c r="B7" s="6">
        <v>0.16478976925514105</v>
      </c>
    </row>
    <row r="8" spans="1:2" x14ac:dyDescent="0.25">
      <c r="A8" t="s">
        <v>6</v>
      </c>
      <c r="B8" s="6">
        <v>0.10041738276454702</v>
      </c>
    </row>
    <row r="9" spans="1:2" x14ac:dyDescent="0.25">
      <c r="A9" t="s">
        <v>7</v>
      </c>
      <c r="B9" s="6">
        <v>0.1248645426919868</v>
      </c>
    </row>
    <row r="10" spans="1:2" x14ac:dyDescent="0.25">
      <c r="A10" t="s">
        <v>8</v>
      </c>
      <c r="B10" s="6">
        <v>0.03199337237490453</v>
      </c>
    </row>
    <row r="11" spans="1:2" x14ac:dyDescent="0.25">
      <c r="A11" t="s">
        <v>9</v>
      </c>
      <c r="B11" s="6">
        <v>-0.03563383166086422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11.365470335917312</v>
      </c>
    </row>
    <row r="14" spans="1:3" x14ac:dyDescent="0.25">
      <c r="A14" t="s">
        <v>12</v>
      </c>
      <c r="B14" s="6">
        <v>0.07692996746161122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0.7882800000000001</v>
      </c>
      <c r="C19" s="8" t="s">
        <v>19</v>
      </c>
    </row>
    <row r="20" spans="1:2" x14ac:dyDescent="0.25">
      <c r="A20" t="s">
        <v>20</v>
      </c>
      <c r="B20" s="10">
        <f>B17+B19*B18</f>
        <v>0.0883554</v>
      </c>
    </row>
    <row r="21" spans="1:3" x14ac:dyDescent="0.25">
      <c r="A21" t="s">
        <v>21</v>
      </c>
      <c r="B21" s="6">
        <v>0.04562945095336549</v>
      </c>
      <c r="C21" s="8" t="s">
        <v>22</v>
      </c>
    </row>
    <row r="22" spans="1:2" x14ac:dyDescent="0.25">
      <c r="A22" t="s">
        <v>23</v>
      </c>
      <c r="B22" s="11">
        <v>10926398464</v>
      </c>
    </row>
    <row r="23" spans="1:2" x14ac:dyDescent="0.25">
      <c r="A23" t="s">
        <v>24</v>
      </c>
      <c r="B23" s="11">
        <v>3479100000</v>
      </c>
    </row>
    <row r="24" spans="1:2" x14ac:dyDescent="0.25">
      <c r="A24" t="s">
        <v>25</v>
      </c>
      <c r="B24" s="10">
        <f>B22/(B22+B23)</f>
        <v>0.7584880517189717</v>
      </c>
    </row>
    <row r="25" spans="1:2" x14ac:dyDescent="0.25">
      <c r="A25" t="s">
        <v>26</v>
      </c>
      <c r="B25" s="10">
        <f>1-B24</f>
        <v>0.2415119482810283</v>
      </c>
    </row>
    <row r="26" spans="1:2" x14ac:dyDescent="0.25">
      <c r="A26" t="s">
        <v>27</v>
      </c>
      <c r="B26" s="12">
        <f>B24*B20+B25*B21*(1-B8)</f>
        <v>0.07692996746161122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4041400000</v>
      </c>
      <c r="C29" s="8" t="s">
        <v>30</v>
      </c>
    </row>
    <row r="30" spans="1:2" x14ac:dyDescent="0.25">
      <c r="A30" t="s">
        <v>31</v>
      </c>
      <c r="B30" s="11">
        <v>3148600000</v>
      </c>
    </row>
    <row r="31" spans="1:2" x14ac:dyDescent="0.25">
      <c r="A31" t="s">
        <v>32</v>
      </c>
      <c r="B31" s="13">
        <v>1310041420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0.21335387561892705</v>
      </c>
      <c r="C5" s="10">
        <f>Assumptions!B6</f>
        <v>0.21335387561892705</v>
      </c>
      <c r="D5" s="10">
        <f>Assumptions!B6</f>
        <v>0.21335387561892705</v>
      </c>
      <c r="E5" s="10">
        <f>Assumptions!B6</f>
        <v>0.21335387561892705</v>
      </c>
      <c r="F5" s="10">
        <f>Assumptions!B6</f>
        <v>0.21335387561892705</v>
      </c>
    </row>
    <row r="6" spans="1:6" x14ac:dyDescent="0.25">
      <c r="A6" t="s">
        <v>43</v>
      </c>
      <c r="B6" s="18">
        <f>Assumptions!B29*(1+B5)</f>
        <v>4903648352.9263315</v>
      </c>
      <c r="C6" s="18">
        <f>B6*(1+C5)</f>
        <v>5949860733.695533</v>
      </c>
      <c r="D6" s="18">
        <f>C6*(1+D5)</f>
        <v>7219286580.622348</v>
      </c>
      <c r="E6" s="18">
        <f>D6*(1+E5)</f>
        <v>8759549351.801838</v>
      </c>
      <c r="F6" s="18">
        <f>E6*(1+F5)</f>
        <v>10628433154.684021</v>
      </c>
    </row>
    <row r="7" spans="1:6" x14ac:dyDescent="0.25">
      <c r="A7" t="s">
        <v>5</v>
      </c>
      <c r="B7" s="10">
        <f>Assumptions!B7</f>
        <v>0.16478976925514105</v>
      </c>
      <c r="C7" s="10">
        <f>Assumptions!B7</f>
        <v>0.16478976925514105</v>
      </c>
      <c r="D7" s="10">
        <f>Assumptions!B7</f>
        <v>0.16478976925514105</v>
      </c>
      <c r="E7" s="10">
        <f>Assumptions!B7</f>
        <v>0.16478976925514105</v>
      </c>
      <c r="F7" s="10">
        <f>Assumptions!B7</f>
        <v>0.16478976925514105</v>
      </c>
    </row>
    <row r="8" spans="1:6" x14ac:dyDescent="0.25">
      <c r="A8" t="s">
        <v>44</v>
      </c>
      <c r="B8" s="18">
        <f>B6*B7</f>
        <v>808071080.5870826</v>
      </c>
      <c r="C8" s="18">
        <f>C6*C7</f>
        <v>980476177.4059111</v>
      </c>
      <c r="D8" s="18">
        <f>D6*D7</f>
        <v>1189664569.807493</v>
      </c>
      <c r="E8" s="18">
        <f>E6*E7</f>
        <v>1443484116.4624453</v>
      </c>
      <c r="F8" s="18">
        <f>F6*F7</f>
        <v>1751457047.1040707</v>
      </c>
    </row>
    <row r="9" spans="1:6" x14ac:dyDescent="0.25">
      <c r="A9" t="s">
        <v>45</v>
      </c>
      <c r="B9" s="18">
        <f>B8*(1-Assumptions!B8)</f>
        <v>726926697.5868084</v>
      </c>
      <c r="C9" s="18">
        <f>C8*(1-Assumptions!B8)</f>
        <v>882019325.8078218</v>
      </c>
      <c r="D9" s="18">
        <f>D8*(1-Assumptions!B8)</f>
        <v>1070201567.3397138</v>
      </c>
      <c r="E9" s="18">
        <f>E8*(1-Assumptions!B8)</f>
        <v>1298533219.425092</v>
      </c>
      <c r="F9" s="18">
        <f>F8*(1-Assumptions!B8)</f>
        <v>1575580314.409358</v>
      </c>
    </row>
    <row r="10" spans="1:6" x14ac:dyDescent="0.25">
      <c r="A10" t="s">
        <v>46</v>
      </c>
      <c r="B10" s="18">
        <f>B6*Assumptions!B9</f>
        <v>612291809.1104606</v>
      </c>
      <c r="C10" s="18">
        <f>C6*Assumptions!B9</f>
        <v>742926639.5939018</v>
      </c>
      <c r="D10" s="18">
        <f>D6*Assumptions!B9</f>
        <v>901432917.4518065</v>
      </c>
      <c r="E10" s="18">
        <f>E6*Assumptions!B9</f>
        <v>1093757124.0006258</v>
      </c>
      <c r="F10" s="18">
        <f>F6*Assumptions!B9</f>
        <v>1327114445.3919709</v>
      </c>
    </row>
    <row r="11" spans="1:6" x14ac:dyDescent="0.25">
      <c r="A11" t="s">
        <v>47</v>
      </c>
      <c r="B11" s="18">
        <f>-B6*Assumptions!B10</f>
        <v>-156884247.7507594</v>
      </c>
      <c r="C11" s="18">
        <f>-C6*Assumptions!B10</f>
        <v>-190356110.03194386</v>
      </c>
      <c r="D11" s="18">
        <f>-D6*Assumptions!B10</f>
        <v>-230969323.85500202</v>
      </c>
      <c r="E11" s="18">
        <f>-E6*Assumptions!B10</f>
        <v>-280247524.2485498</v>
      </c>
      <c r="F11" s="18">
        <f>-F6*Assumptions!B10</f>
        <v>-340039419.6795872</v>
      </c>
    </row>
    <row r="12" spans="1:6" x14ac:dyDescent="0.25">
      <c r="A12" t="s">
        <v>48</v>
      </c>
      <c r="B12" s="18">
        <f>-(B6-Assumptions!B29)*Assumptions!B11</f>
        <v>30725212.65803434</v>
      </c>
      <c r="C12" s="18">
        <f>-(C6-B6)*Assumptions!B11</f>
        <v>37280555.8578417</v>
      </c>
      <c r="D12" s="18">
        <f>-(D6-C6)*Assumptions!B11</f>
        <v>45234506.93534012</v>
      </c>
      <c r="E12" s="18">
        <f>-(E6-D6)*Assumptions!B11</f>
        <v>54885464.30170618</v>
      </c>
      <c r="F12" s="18">
        <f>-(F6-E6)*Assumptions!B11</f>
        <v>66595490.82561947</v>
      </c>
    </row>
    <row r="13" spans="1:6" x14ac:dyDescent="0.25">
      <c r="A13" s="19" t="s">
        <v>49</v>
      </c>
      <c r="B13" s="20">
        <f>B9+B10+B11+B12</f>
        <v>1213059471.604544</v>
      </c>
      <c r="C13" s="20">
        <f>C9+C10+C11+C12</f>
        <v>1471870411.2276213</v>
      </c>
      <c r="D13" s="20">
        <f>D9+D10+D11+D12</f>
        <v>1785899667.8718586</v>
      </c>
      <c r="E13" s="20">
        <f>E9+E10+E11+E12</f>
        <v>2166928283.478874</v>
      </c>
      <c r="F13" s="20">
        <f>F9+F10+F11+F12</f>
        <v>2629250830.947361</v>
      </c>
    </row>
    <row r="14" spans="1:6" x14ac:dyDescent="0.25">
      <c r="A14" t="s">
        <v>50</v>
      </c>
      <c r="B14" s="21">
        <f>1/(1+Assumptions!$B$26)^(1-0.5*Assumptions!$B$32)</f>
        <v>0.9636210288685837</v>
      </c>
      <c r="C14" s="21">
        <f>1/(1+Assumptions!$B$26)^(2-0.5*Assumptions!$B$32)</f>
        <v>0.8947852302224408</v>
      </c>
      <c r="D14" s="21">
        <f>1/(1+Assumptions!$B$26)^(3-0.5*Assumptions!$B$32)</f>
        <v>0.8308666833104325</v>
      </c>
      <c r="E14" s="21">
        <f>1/(1+Assumptions!$B$26)^(4-0.5*Assumptions!$B$32)</f>
        <v>0.7715141266509977</v>
      </c>
      <c r="F14" s="21">
        <f>1/(1+Assumptions!$B$26)^(5-0.5*Assumptions!$B$32)</f>
        <v>0.7164013909553496</v>
      </c>
    </row>
    <row r="15" spans="1:6" x14ac:dyDescent="0.25">
      <c r="A15" s="19" t="s">
        <v>51</v>
      </c>
      <c r="B15" s="20">
        <f>B13*B14</f>
        <v>1168929616.1063511</v>
      </c>
      <c r="C15" s="20">
        <f>C13*C14</f>
        <v>1317007904.7679057</v>
      </c>
      <c r="D15" s="20">
        <f>D13*D14</f>
        <v>1483844533.7698941</v>
      </c>
      <c r="E15" s="20">
        <f>E13*E14</f>
        <v>1671815782.1435492</v>
      </c>
      <c r="F15" s="20">
        <f>F13*F14</f>
        <v>1883598952.461198</v>
      </c>
    </row>
    <row r="17" spans="1:2" x14ac:dyDescent="0.25">
      <c r="A17" s="22" t="s">
        <v>52</v>
      </c>
      <c r="B17" s="23">
        <f>SUM(B15:F15)</f>
        <v>7525196789.2488985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2629250830.947361</v>
      </c>
    </row>
    <row r="5" spans="1:2" x14ac:dyDescent="0.25">
      <c r="A5" t="s">
        <v>56</v>
      </c>
      <c r="B5" s="18">
        <f>IF(Assumptions!$B$33=0,B4,B4-Forecast!F11-Forecast!F10-Forecast!F12)</f>
        <v>2632946669.480392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0.3249708900822717</v>
      </c>
    </row>
    <row r="7" spans="1:2" x14ac:dyDescent="0.25">
      <c r="A7" t="s">
        <v>58</v>
      </c>
      <c r="B7" s="18">
        <f>-MAX(Forecast!F9,0)*B6</f>
        <v>-855631022.7201958</v>
      </c>
    </row>
    <row r="8" spans="1:2" x14ac:dyDescent="0.25">
      <c r="A8" t="s">
        <v>59</v>
      </c>
      <c r="B8" s="18">
        <f>IF(OR(Assumptions!$B$33=0,Assumptions!B12&lt;=0),B5,MAX(B5+B7,0))</f>
        <v>1777315646.7601962</v>
      </c>
    </row>
    <row r="9" spans="1:2" x14ac:dyDescent="0.25">
      <c r="A9" t="s">
        <v>60</v>
      </c>
      <c r="B9" s="18">
        <f>B8*(1+Assumptions!B12)/(Assumptions!B26-Assumptions!B12)</f>
        <v>35080871931.52803</v>
      </c>
    </row>
    <row r="10" spans="1:2" x14ac:dyDescent="0.25">
      <c r="A10" t="s">
        <v>61</v>
      </c>
      <c r="B10" s="18">
        <f>B9/(1+Assumptions!B26)^(5-0.5*Assumptions!B32)</f>
        <v>25131985447.673164</v>
      </c>
    </row>
    <row r="11" spans="1:2" x14ac:dyDescent="0.25">
      <c r="A11" t="s">
        <v>62</v>
      </c>
      <c r="B11" s="18">
        <f>Forecast!B17+B10</f>
        <v>32657182236.922062</v>
      </c>
    </row>
    <row r="12" spans="1:2" x14ac:dyDescent="0.25">
      <c r="A12" t="s">
        <v>63</v>
      </c>
      <c r="B12" s="18">
        <f>-Assumptions!B30</f>
        <v>-3148600000</v>
      </c>
    </row>
    <row r="13" spans="1:2" x14ac:dyDescent="0.25">
      <c r="A13" t="s">
        <v>64</v>
      </c>
      <c r="B13" s="18">
        <f>B11+B12</f>
        <v>29508582236.922062</v>
      </c>
    </row>
    <row r="14" spans="1:2" x14ac:dyDescent="0.25">
      <c r="A14" s="19" t="s">
        <v>65</v>
      </c>
      <c r="B14" s="24">
        <f>B13/Assumptions!B31</f>
        <v>22.5249230951202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3078571492.4960413</v>
      </c>
    </row>
    <row r="18" spans="1:2" x14ac:dyDescent="0.25">
      <c r="A18" t="s">
        <v>60</v>
      </c>
      <c r="B18" s="18">
        <f>B17*Assumptions!B13</f>
        <v>34989412974.96444</v>
      </c>
    </row>
    <row r="19" spans="1:2" x14ac:dyDescent="0.25">
      <c r="A19" t="s">
        <v>61</v>
      </c>
      <c r="B19" s="18">
        <f>B18/(1+Assumptions!B26)^(5-0.5*Assumptions!B32)</f>
        <v>25066464123.97568</v>
      </c>
    </row>
    <row r="20" spans="1:2" x14ac:dyDescent="0.25">
      <c r="A20" t="s">
        <v>62</v>
      </c>
      <c r="B20" s="18">
        <f>Forecast!B17+B19</f>
        <v>32591660913.22458</v>
      </c>
    </row>
    <row r="21" spans="1:2" x14ac:dyDescent="0.25">
      <c r="A21" t="s">
        <v>63</v>
      </c>
      <c r="B21" s="18">
        <f>-Assumptions!B30</f>
        <v>-3148600000</v>
      </c>
    </row>
    <row r="22" spans="1:2" x14ac:dyDescent="0.25">
      <c r="A22" t="s">
        <v>64</v>
      </c>
      <c r="B22" s="18">
        <f>B20+B21</f>
        <v>29443060913.22458</v>
      </c>
    </row>
    <row r="23" spans="1:2" x14ac:dyDescent="0.25">
      <c r="A23" s="19" t="s">
        <v>65</v>
      </c>
      <c r="B23" s="25">
        <f>B22/Assumptions!B31</f>
        <v>22.474908398869236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874.6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2252.4923095120203</v>
      </c>
    </row>
    <row r="29" spans="1:2" x14ac:dyDescent="0.25">
      <c r="A29" s="19" t="s">
        <v>73</v>
      </c>
      <c r="B29" s="12">
        <f>B28/B26-1</f>
        <v>1.5754542756826209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0.05693</v>
      </c>
      <c r="B5" s="31">
        <v>32.31467550863384</v>
      </c>
      <c r="C5" s="31">
        <v>32.83760178327542</v>
      </c>
      <c r="D5" s="31">
        <v>33.48439827609245</v>
      </c>
      <c r="E5" s="31">
        <v>34.32406065261153</v>
      </c>
      <c r="F5" s="31">
        <v>35.48850812193119</v>
      </c>
    </row>
    <row r="6" spans="1:6" x14ac:dyDescent="0.25">
      <c r="A6" s="30">
        <v>0.06693</v>
      </c>
      <c r="B6" s="31">
        <v>26.261319577009147</v>
      </c>
      <c r="C6" s="31">
        <v>26.37349418075689</v>
      </c>
      <c r="D6" s="31">
        <v>26.485668784504636</v>
      </c>
      <c r="E6" s="31">
        <v>26.597843388252382</v>
      </c>
      <c r="F6" s="31">
        <v>26.710017992000118</v>
      </c>
    </row>
    <row r="7" spans="1:6" x14ac:dyDescent="0.25">
      <c r="A7" s="30">
        <v>0.07693</v>
      </c>
      <c r="B7" s="31">
        <v>22.33774990323831</v>
      </c>
      <c r="C7" s="31">
        <v>22.431330900427657</v>
      </c>
      <c r="D7" s="32">
        <v>22.524911897616995</v>
      </c>
      <c r="E7" s="31">
        <v>22.618492894806337</v>
      </c>
      <c r="F7" s="31">
        <v>22.71207389199568</v>
      </c>
    </row>
    <row r="8" spans="1:6" x14ac:dyDescent="0.25">
      <c r="A8" s="30">
        <v>0.08693</v>
      </c>
      <c r="B8" s="31">
        <v>19.32451004894915</v>
      </c>
      <c r="C8" s="31">
        <v>19.403952067252654</v>
      </c>
      <c r="D8" s="31">
        <v>19.483394085556146</v>
      </c>
      <c r="E8" s="31">
        <v>19.56283610385965</v>
      </c>
      <c r="F8" s="31">
        <v>19.642278122163148</v>
      </c>
    </row>
    <row r="9" spans="1:6" x14ac:dyDescent="0.25">
      <c r="A9" s="30">
        <v>0.09693</v>
      </c>
      <c r="B9" s="31">
        <v>16.939532526942607</v>
      </c>
      <c r="C9" s="31">
        <v>17.007902233069032</v>
      </c>
      <c r="D9" s="31">
        <v>17.076271939195443</v>
      </c>
      <c r="E9" s="31">
        <v>17.14464164532187</v>
      </c>
      <c r="F9" s="31">
        <v>17.21301135144828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4041400000</v>
      </c>
      <c r="C5" s="18">
        <v>3553100000</v>
      </c>
      <c r="D5" s="18">
        <v>3189600000</v>
      </c>
      <c r="E5" s="18">
        <v>2262400000</v>
      </c>
      <c r="F5" s="8" t="s">
        <v>84</v>
      </c>
    </row>
    <row r="6" spans="1:6" x14ac:dyDescent="0.25">
      <c r="A6" t="s">
        <v>44</v>
      </c>
      <c r="B6" s="18">
        <v>793900000</v>
      </c>
      <c r="C6" s="18">
        <v>688100000</v>
      </c>
      <c r="D6" s="18">
        <v>542800000</v>
      </c>
      <c r="E6" s="18">
        <v>223700000</v>
      </c>
      <c r="F6" s="8" t="s">
        <v>85</v>
      </c>
    </row>
    <row r="7" spans="1:6" x14ac:dyDescent="0.25">
      <c r="A7" t="s">
        <v>86</v>
      </c>
      <c r="B7" s="18">
        <v>444500000</v>
      </c>
      <c r="C7" s="18">
        <v>400300000</v>
      </c>
      <c r="D7" s="18">
        <v>393700000</v>
      </c>
      <c r="E7" s="18">
        <v>347000000</v>
      </c>
      <c r="F7" s="8" t="s">
        <v>87</v>
      </c>
    </row>
    <row r="8" spans="1:6" x14ac:dyDescent="0.25">
      <c r="A8" t="s">
        <v>88</v>
      </c>
      <c r="B8" s="18">
        <v>108300000</v>
      </c>
      <c r="C8" s="18">
        <v>108200000</v>
      </c>
      <c r="D8" s="18">
        <v>116600000</v>
      </c>
      <c r="E8" s="18">
        <v>77300000</v>
      </c>
      <c r="F8" s="8" t="s">
        <v>89</v>
      </c>
    </row>
    <row r="9" spans="1:6" x14ac:dyDescent="0.25">
      <c r="A9" t="s">
        <v>90</v>
      </c>
      <c r="B9" s="18">
        <v>-17400000</v>
      </c>
      <c r="C9" s="18">
        <v>-27400000</v>
      </c>
      <c r="D9" s="18">
        <v>39500000</v>
      </c>
      <c r="E9" s="18">
        <v>-55600000</v>
      </c>
      <c r="F9" s="8" t="s">
        <v>91</v>
      </c>
    </row>
    <row r="10" spans="1:6" x14ac:dyDescent="0.25">
      <c r="A10" t="s">
        <v>92</v>
      </c>
      <c r="B10" s="18">
        <v>3479100000</v>
      </c>
      <c r="C10" s="18">
        <v>3485700000</v>
      </c>
      <c r="D10" s="18">
        <v>1778300000</v>
      </c>
      <c r="E10" s="18">
        <v>2211200000</v>
      </c>
      <c r="F10" s="8" t="s">
        <v>93</v>
      </c>
    </row>
    <row r="11" spans="1:6" x14ac:dyDescent="0.25">
      <c r="A11" t="s">
        <v>94</v>
      </c>
      <c r="B11" s="18">
        <v>330500000</v>
      </c>
      <c r="C11" s="18">
        <v>484300000</v>
      </c>
      <c r="D11" s="18">
        <v>389300000</v>
      </c>
      <c r="E11" s="18">
        <v>2125800000</v>
      </c>
      <c r="F11" s="8" t="s">
        <v>95</v>
      </c>
    </row>
    <row r="12" spans="1:6" x14ac:dyDescent="0.25">
      <c r="A12" t="s">
        <v>32</v>
      </c>
      <c r="B12" s="34">
        <v>1310041420</v>
      </c>
      <c r="C12" s="34">
        <v>1343992312</v>
      </c>
      <c r="D12" s="34">
        <v>1402722142</v>
      </c>
      <c r="E12" s="34">
        <v>1464284255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