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<sst xmlns="http://schemas.openxmlformats.org/spreadsheetml/2006/main" count="115" uniqueCount="103">
  <si>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ING Groep N.V. (INGA.AS)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</si>
  <si>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</si>
  <si>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</si>
  <si>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</si>
  <si>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</si>
  <si>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</si>
  <si>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</si>
  <si>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</si>
  <si>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</si>
  <si>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</si>
  <si>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</si>
  <si>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</si>
  <si>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</si>
  <si>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</si>
  <si>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</si>
  <si>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</si>
  <si>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</si>
  <si>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</si>
  <si>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</si>
  <si>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</si>
  <si>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</si>
  <si>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</si>
  <si>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20.7%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</si>
  <si>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</si>
  <si>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</si>
  <si>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</si>
  <si>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</si>
  <si>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</si>
  <si>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</si>
  <si>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</si>
  <si>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</si>
  <si>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</si>
  <si>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</si>
  <si>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</si>
  <si>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</si>
  <si>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</si>
  <si>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</si>
  <si>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</si>
  <si>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</si>
  <si>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</si>
  <si>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</si>
  <si>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</si>
  <si>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</si>
  <si>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</si>
  <si>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</si>
  <si>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</si>
  <si>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</si>
  <si>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</si>
  <si>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</si>
  <si>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</si>
  <si>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</si>
  <si>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</si>
  <si>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</si>
  <si>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</si>
  <si>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</si>
  <si>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</si>
  <si>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</si>
  <si>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</si>
  <si>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</si>
  <si>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</si>
  <si>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</si>
  <si>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</si>
  <si>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</si>
  <si>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</si>
  <si>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</si>
  <si>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</si>
  <si>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</si>
  <si>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</si>
  <si>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</si>
  <si>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</si>
  <si>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</si>
  <si>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</si>
  <si>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</si>
  <si>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</si>
  <si>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</si>
  <si>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</si>
  <si>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</si>
  <si>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</si>
  <si>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</si>
  <si>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</si>
  <si>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</si>
  <si>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</si>
  <si>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</si>
  <si>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</si>
  <si>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</si>
  <si>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</si>
  <si>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</si>
  <si>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</si>
  <si>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</si>
  <si>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</si>
  <si>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</si>
  <si>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</si>
  <si>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</si>
  <si>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</si>
  <si>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</si>
  <si>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</si>
  <si>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</si>
  <si>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</si>
  <si>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</si>
  <si>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1.33% of revenue against depreciation and amortisation of 3.16%. A business cannot depreciate more than it invests indefinitely. Capex has been set to 3.16%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</si>
  <si>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USD assumption - no free live source available for this market.</t>
  </si>
  <si>
    <t>Current EV/EBITDA of 22.1x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</si>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</sst>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0.06629934317574437</v>
      </c>
    </row>
    <row r="7" spans="1:2" x14ac:dyDescent="0.25">
      <c r="A7" t="s">
        <v>5</v>
      </c>
      <c r="B7" s="6">
        <v>0.3914374528840172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0.03155941020639555</v>
      </c>
    </row>
    <row r="10" spans="1:2" x14ac:dyDescent="0.25">
      <c r="A10" t="s">
        <v>8</v>
      </c>
      <c r="B10" s="6">
        <v>0.03155941020639555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0.0653187588862946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0.933</v>
      </c>
      <c r="C19" s="8" t="s">
        <v>19</v>
      </c>
    </row>
    <row r="20" spans="1:2" x14ac:dyDescent="0.25">
      <c r="A20" t="s">
        <v>20</v>
      </c>
      <c r="B20" s="10">
        <f>B17+B19*B18</f>
        <v>0.10264500000000001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90356785152</v>
      </c>
    </row>
    <row r="23" spans="1:2" x14ac:dyDescent="0.25">
      <c r="A23" t="s">
        <v>24</v>
      </c>
      <c r="B23" s="11">
        <v>179219000000</v>
      </c>
    </row>
    <row r="24" spans="1:2" x14ac:dyDescent="0.25">
      <c r="A24" t="s">
        <v>25</v>
      </c>
      <c r="B24" s="10">
        <f>B22/(B22+B23)</f>
        <v>0.3351813854536394</v>
      </c>
    </row>
    <row r="25" spans="1:2" x14ac:dyDescent="0.25">
      <c r="A25" t="s">
        <v>26</v>
      </c>
      <c r="B25" s="10">
        <f>1-B24</f>
        <v>0.6648186145463606</v>
      </c>
    </row>
    <row r="26" spans="1:2" x14ac:dyDescent="0.25">
      <c r="A26" t="s">
        <v>27</v>
      </c>
      <c r="B26" s="12">
        <f>B24*B20+B25*B21*(1-B8)</f>
        <v>0.0653187588862946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22903000000</v>
      </c>
      <c r="C29" s="8" t="s">
        <v>30</v>
      </c>
    </row>
    <row r="30" spans="1:2" x14ac:dyDescent="0.25">
      <c r="A30" t="s">
        <v>31</v>
      </c>
      <c r="B30" s="11">
        <v>126330000000</v>
      </c>
    </row>
    <row r="31" spans="1:2" x14ac:dyDescent="0.25">
      <c r="A31" t="s">
        <v>32</v>
      </c>
      <c r="B31" s="13">
        <v>2989700000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0.06629934317574437</v>
      </c>
      <c r="C5" s="10">
        <f>Assumptions!B6</f>
        <v>0.06629934317574437</v>
      </c>
      <c r="D5" s="10">
        <f>Assumptions!B6</f>
        <v>0.06629934317574437</v>
      </c>
      <c r="E5" s="10">
        <f>Assumptions!B6</f>
        <v>0.06629934317574437</v>
      </c>
      <c r="F5" s="10">
        <f>Assumptions!B6</f>
        <v>0.06629934317574437</v>
      </c>
    </row>
    <row r="6" spans="1:6" x14ac:dyDescent="0.25">
      <c r="A6" t="s">
        <v>43</v>
      </c>
      <c r="B6" s="18">
        <f>Assumptions!B29*(1+B5)</f>
        <v>24421453856.754074</v>
      </c>
      <c r="C6" s="18">
        <f>B6*(1+C5)</f>
        <v>26040580206.85362</v>
      </c>
      <c r="D6" s="18">
        <f>C6*(1+D5)</f>
        <v>27767053570.483303</v>
      </c>
      <c r="E6" s="18">
        <f>D6*(1+E5)</f>
        <v>29607990984.132053</v>
      </c>
      <c r="F6" s="18">
        <f>E6*(1+F5)</f>
        <v>31570981339.13337</v>
      </c>
    </row>
    <row r="7" spans="1:6" x14ac:dyDescent="0.25">
      <c r="A7" t="s">
        <v>5</v>
      </c>
      <c r="B7" s="10">
        <f>Assumptions!B7</f>
        <v>0.3914374528840172</v>
      </c>
      <c r="C7" s="10">
        <f>Assumptions!B7</f>
        <v>0.3914374528840172</v>
      </c>
      <c r="D7" s="10">
        <f>Assumptions!B7</f>
        <v>0.3914374528840172</v>
      </c>
      <c r="E7" s="10">
        <f>Assumptions!B7</f>
        <v>0.3914374528840172</v>
      </c>
      <c r="F7" s="10">
        <f>Assumptions!B7</f>
        <v>0.3914374528840172</v>
      </c>
    </row>
    <row r="8" spans="1:6" x14ac:dyDescent="0.25">
      <c r="A8" t="s">
        <v>44</v>
      </c>
      <c r="B8" s="18">
        <f>B6*B7</f>
        <v>9559471693.412373</v>
      </c>
      <c r="C8" s="18">
        <f>C6*C7</f>
        <v>10193258387.792734</v>
      </c>
      <c r="D8" s="18">
        <f>D6*D7</f>
        <v>10869064723.72404</v>
      </c>
      <c r="E8" s="18">
        <f>E6*E7</f>
        <v>11589676575.841597</v>
      </c>
      <c r="F8" s="18">
        <f>F6*F7</f>
        <v>12358064520.439205</v>
      </c>
    </row>
    <row r="9" spans="1:6" x14ac:dyDescent="0.25">
      <c r="A9" t="s">
        <v>45</v>
      </c>
      <c r="B9" s="18">
        <f>B8*(1-Assumptions!B8)</f>
        <v>7169603770.059279</v>
      </c>
      <c r="C9" s="18">
        <f>C8*(1-Assumptions!B8)</f>
        <v>7644943790.844551</v>
      </c>
      <c r="D9" s="18">
        <f>D8*(1-Assumptions!B8)</f>
        <v>8151798542.79303</v>
      </c>
      <c r="E9" s="18">
        <f>E8*(1-Assumptions!B8)</f>
        <v>8692257431.881197</v>
      </c>
      <c r="F9" s="18">
        <f>F8*(1-Assumptions!B8)</f>
        <v>9268548390.329403</v>
      </c>
    </row>
    <row r="10" spans="1:6" x14ac:dyDescent="0.25">
      <c r="A10" t="s">
        <v>46</v>
      </c>
      <c r="B10" s="18">
        <f>B6*Assumptions!B9</f>
        <v>770726680.1018624</v>
      </c>
      <c r="C10" s="18">
        <f>C6*Assumptions!B9</f>
        <v>821825352.760638</v>
      </c>
      <c r="D10" s="18">
        <f>D6*Assumptions!B9</f>
        <v>876311833.8538427</v>
      </c>
      <c r="E10" s="18">
        <f>E6*Assumptions!B9</f>
        <v>934410732.8554845</v>
      </c>
      <c r="F10" s="18">
        <f>F6*Assumptions!B9</f>
        <v>996361550.7001691</v>
      </c>
    </row>
    <row r="11" spans="1:6" x14ac:dyDescent="0.25">
      <c r="A11" t="s">
        <v>47</v>
      </c>
      <c r="B11" s="18">
        <f>-B6*Assumptions!B10</f>
        <v>-770726680.1018624</v>
      </c>
      <c r="C11" s="18">
        <f>-C6*Assumptions!B10</f>
        <v>-821825352.760638</v>
      </c>
      <c r="D11" s="18">
        <f>-D6*Assumptions!B10</f>
        <v>-876311833.8538427</v>
      </c>
      <c r="E11" s="18">
        <f>-E6*Assumptions!B10</f>
        <v>-934410732.8554845</v>
      </c>
      <c r="F11" s="18">
        <f>-F6*Assumptions!B10</f>
        <v>-996361550.7001691</v>
      </c>
    </row>
    <row r="12" spans="1:6" x14ac:dyDescent="0.25">
      <c r="A12" t="s">
        <v>48</v>
      </c>
      <c r="B12" s="18">
        <f>-(B6-Assumptions!B29)*Assumptions!B11</f>
        <v>-1518453856.754074</v>
      </c>
      <c r="C12" s="18">
        <f>-(C6-B6)*Assumptions!B11</f>
        <v>-1619126350.0995445</v>
      </c>
      <c r="D12" s="18">
        <f>-(D6-C6)*Assumptions!B11</f>
        <v>-1726473363.6296844</v>
      </c>
      <c r="E12" s="18">
        <f>-(E6-D6)*Assumptions!B11</f>
        <v>-1840937413.6487503</v>
      </c>
      <c r="F12" s="18">
        <f>-(F6-E6)*Assumptions!B11</f>
        <v>-1962990355.001316</v>
      </c>
    </row>
    <row r="13" spans="1:6" x14ac:dyDescent="0.25">
      <c r="A13" s="19" t="s">
        <v>49</v>
      </c>
      <c r="B13" s="20">
        <f>B9+B10+B11+B12</f>
        <v>5651149913.305206</v>
      </c>
      <c r="C13" s="20">
        <f>C9+C10+C11+C12</f>
        <v>6025817440.745007</v>
      </c>
      <c r="D13" s="20">
        <f>D9+D10+D11+D12</f>
        <v>6425325179.163346</v>
      </c>
      <c r="E13" s="20">
        <f>E9+E10+E11+E12</f>
        <v>6851320018.232447</v>
      </c>
      <c r="F13" s="20">
        <f>F9+F10+F11+F12</f>
        <v>7305558035.328087</v>
      </c>
    </row>
    <row r="14" spans="1:6" x14ac:dyDescent="0.25">
      <c r="A14" t="s">
        <v>50</v>
      </c>
      <c r="B14" s="21">
        <f>1/(1+Assumptions!$B$26)^(1-0.5*Assumptions!$B$32)</f>
        <v>0.9688581854479272</v>
      </c>
      <c r="C14" s="21">
        <f>1/(1+Assumptions!$B$26)^(2-0.5*Assumptions!$B$32)</f>
        <v>0.9094537924600058</v>
      </c>
      <c r="D14" s="21">
        <f>1/(1+Assumptions!$B$26)^(3-0.5*Assumptions!$B$32)</f>
        <v>0.8536917095224783</v>
      </c>
      <c r="E14" s="21">
        <f>1/(1+Assumptions!$B$26)^(4-0.5*Assumptions!$B$32)</f>
        <v>0.8013486127053132</v>
      </c>
      <c r="F14" s="21">
        <f>1/(1+Assumptions!$B$26)^(5-0.5*Assumptions!$B$32)</f>
        <v>0.7522148709209429</v>
      </c>
    </row>
    <row r="15" spans="1:6" x14ac:dyDescent="0.25">
      <c r="A15" s="19" t="s">
        <v>51</v>
      </c>
      <c r="B15" s="20">
        <f>B13*B14</f>
        <v>5475162850.699094</v>
      </c>
      <c r="C15" s="20">
        <f>C13*C14</f>
        <v>5480202524.157192</v>
      </c>
      <c r="D15" s="20">
        <f>D13*D14</f>
        <v>5485246836.437781</v>
      </c>
      <c r="E15" s="20">
        <f>E13*E14</f>
        <v>5490295791.810713</v>
      </c>
      <c r="F15" s="20">
        <f>F13*F14</f>
        <v>5495349394.549774</v>
      </c>
    </row>
    <row r="17" spans="1:2" x14ac:dyDescent="0.25">
      <c r="A17" s="22" t="s">
        <v>52</v>
      </c>
      <c r="B17" s="23">
        <f>SUM(B15:F15)</f>
        <v>27426257397.654556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7305558035.328087</v>
      </c>
    </row>
    <row r="5" spans="1:2" x14ac:dyDescent="0.25">
      <c r="A5" t="s">
        <v>56</v>
      </c>
      <c r="B5" s="18">
        <f>IF(Assumptions!$B$33=0,B4,B4-Forecast!F11-Forecast!F10-Forecast!F12)</f>
        <v>9268548390.329403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0.3827384418543443</v>
      </c>
    </row>
    <row r="7" spans="1:2" x14ac:dyDescent="0.25">
      <c r="A7" t="s">
        <v>58</v>
      </c>
      <c r="B7" s="18">
        <f>-MAX(Forecast!F9,0)*B6</f>
        <v>-3547429769.1662664</v>
      </c>
    </row>
    <row r="8" spans="1:2" x14ac:dyDescent="0.25">
      <c r="A8" t="s">
        <v>59</v>
      </c>
      <c r="B8" s="18">
        <f>IF(OR(Assumptions!$B$33=0,Assumptions!B12&lt;=0),B5,MAX(B5+B7,0))</f>
        <v>5721118621.1631365</v>
      </c>
    </row>
    <row r="9" spans="1:2" x14ac:dyDescent="0.25">
      <c r="A9" t="s">
        <v>60</v>
      </c>
      <c r="B9" s="18">
        <f>B8*(1+Assumptions!B12)/(Assumptions!B26-Assumptions!B12)</f>
        <v>145444620535.81693</v>
      </c>
    </row>
    <row r="10" spans="1:2" x14ac:dyDescent="0.25">
      <c r="A10" t="s">
        <v>61</v>
      </c>
      <c r="B10" s="18">
        <f>B9/(1+Assumptions!B26)^(5-0.5*Assumptions!B32)</f>
        <v>109405606462.49504</v>
      </c>
    </row>
    <row r="11" spans="1:2" x14ac:dyDescent="0.25">
      <c r="A11" t="s">
        <v>62</v>
      </c>
      <c r="B11" s="18">
        <f>Forecast!B17+B10</f>
        <v>136831863860.1496</v>
      </c>
    </row>
    <row r="12" spans="1:2" x14ac:dyDescent="0.25">
      <c r="A12" t="s">
        <v>63</v>
      </c>
      <c r="B12" s="18">
        <f>-Assumptions!B30</f>
        <v>-126330000000</v>
      </c>
    </row>
    <row r="13" spans="1:2" x14ac:dyDescent="0.25">
      <c r="A13" t="s">
        <v>64</v>
      </c>
      <c r="B13" s="18">
        <f>B11+B12</f>
        <v>10501863860.149597</v>
      </c>
    </row>
    <row r="14" spans="1:2" x14ac:dyDescent="0.25">
      <c r="A14" s="19" t="s">
        <v>65</v>
      </c>
      <c r="B14" s="24">
        <f>B13/Assumptions!B31</f>
        <v>3.512681493176438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13354426071.139374</v>
      </c>
    </row>
    <row r="18" spans="1:2" x14ac:dyDescent="0.25">
      <c r="A18" t="s">
        <v>60</v>
      </c>
      <c r="B18" s="18">
        <f>B17*Assumptions!B13</f>
        <v>267088521422.78748</v>
      </c>
    </row>
    <row r="19" spans="1:2" x14ac:dyDescent="0.25">
      <c r="A19" t="s">
        <v>61</v>
      </c>
      <c r="B19" s="18">
        <f>B18/(1+Assumptions!B26)^(5-0.5*Assumptions!B32)</f>
        <v>200907957666.50757</v>
      </c>
    </row>
    <row r="20" spans="1:2" x14ac:dyDescent="0.25">
      <c r="A20" t="s">
        <v>62</v>
      </c>
      <c r="B20" s="18">
        <f>Forecast!B17+B19</f>
        <v>228334215064.1621</v>
      </c>
    </row>
    <row r="21" spans="1:2" x14ac:dyDescent="0.25">
      <c r="A21" t="s">
        <v>63</v>
      </c>
      <c r="B21" s="18">
        <f>-Assumptions!B30</f>
        <v>-126330000000</v>
      </c>
    </row>
    <row r="22" spans="1:2" x14ac:dyDescent="0.25">
      <c r="A22" t="s">
        <v>64</v>
      </c>
      <c r="B22" s="18">
        <f>B20+B21</f>
        <v>102004215064.16211</v>
      </c>
    </row>
    <row r="23" spans="1:2" x14ac:dyDescent="0.25">
      <c r="A23" s="19" t="s">
        <v>65</v>
      </c>
      <c r="B23" s="25">
        <f>B22/Assumptions!B31</f>
        <v>34.11854536045828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31.715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3.512681493176438</v>
      </c>
    </row>
    <row r="29" spans="1:2" x14ac:dyDescent="0.25">
      <c r="A29" s="19" t="s">
        <v>73</v>
      </c>
      <c r="B29" s="12">
        <f>B28/B26-1</f>
        <v>-0.8892422672812096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0.045319</v>
      </c>
      <c r="B5" s="31">
        <v>24.246150070410422</v>
      </c>
      <c r="C5" s="31">
        <v>24.52634095149102</v>
      </c>
      <c r="D5" s="31">
        <v>24.806531832571604</v>
      </c>
      <c r="E5" s="31">
        <v>25.08672271365222</v>
      </c>
      <c r="F5" s="31">
        <v>25.366913594732786</v>
      </c>
    </row>
    <row r="6" spans="1:6" x14ac:dyDescent="0.25">
      <c r="A6" s="30">
        <v>0.055319</v>
      </c>
      <c r="B6" s="31">
        <v>11.780906569354487</v>
      </c>
      <c r="C6" s="31">
        <v>12.000820573483649</v>
      </c>
      <c r="D6" s="31">
        <v>12.220734577612824</v>
      </c>
      <c r="E6" s="31">
        <v>12.440648581742007</v>
      </c>
      <c r="F6" s="31">
        <v>12.660562585871169</v>
      </c>
    </row>
    <row r="7" spans="1:6" x14ac:dyDescent="0.25">
      <c r="A7" s="30">
        <v>0.065319</v>
      </c>
      <c r="B7" s="31">
        <v>3.155489282451476</v>
      </c>
      <c r="C7" s="31">
        <v>3.3339966148344975</v>
      </c>
      <c r="D7" s="32">
        <v>3.5125039472175086</v>
      </c>
      <c r="E7" s="31">
        <v>3.6910112796005197</v>
      </c>
      <c r="F7" s="31">
        <v>3.8695186119835308</v>
      </c>
    </row>
    <row r="8" spans="1:6" x14ac:dyDescent="0.25">
      <c r="A8" s="30">
        <v>0.075319</v>
      </c>
      <c r="B8" s="31">
        <v>-3.160681463926503</v>
      </c>
      <c r="C8" s="31">
        <v>-3.0122480652700654</v>
      </c>
      <c r="D8" s="31">
        <v>-2.8638146666136386</v>
      </c>
      <c r="E8" s="31">
        <v>-2.7153812679572065</v>
      </c>
      <c r="F8" s="31">
        <v>-2.566947869300775</v>
      </c>
    </row>
    <row r="9" spans="1:6" x14ac:dyDescent="0.25">
      <c r="A9" s="30">
        <v>0.085319</v>
      </c>
      <c r="B9" s="31">
        <v>-7.980538251022077</v>
      </c>
      <c r="C9" s="31">
        <v>-7.854848452221595</v>
      </c>
      <c r="D9" s="31">
        <v>-7.729158653421118</v>
      </c>
      <c r="E9" s="31">
        <v>-7.603468854620637</v>
      </c>
      <c r="F9" s="31">
        <v>-7.47777905582016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22903000000</v>
      </c>
      <c r="C5" s="18">
        <v>22554000000</v>
      </c>
      <c r="D5" s="18">
        <v>22674000000</v>
      </c>
      <c r="E5" s="18">
        <v>18891000000</v>
      </c>
      <c r="F5" s="8" t="s">
        <v>84</v>
      </c>
    </row>
    <row r="6" spans="1:6" x14ac:dyDescent="0.25">
      <c r="A6" t="s">
        <v>44</v>
      </c>
      <c r="B6" s="18">
        <v>9148000000</v>
      </c>
      <c r="C6" s="18">
        <v>9300000000</v>
      </c>
      <c r="D6" s="18">
        <v>10492000000</v>
      </c>
      <c r="E6" s="18">
        <v>5502000000</v>
      </c>
      <c r="F6" s="8" t="s">
        <v>85</v>
      </c>
    </row>
    <row r="7" spans="1:6" x14ac:dyDescent="0.25">
      <c r="A7" t="s">
        <v>86</v>
      </c>
      <c r="B7" s="18">
        <v>665000000</v>
      </c>
      <c r="C7" s="18">
        <v>673000000</v>
      </c>
      <c r="D7" s="18">
        <v>674000000</v>
      </c>
      <c r="E7" s="18">
        <v>711000000</v>
      </c>
      <c r="F7" s="8" t="s">
        <v>87</v>
      </c>
    </row>
    <row r="8" spans="1:6" x14ac:dyDescent="0.25">
      <c r="A8" t="s">
        <v>88</v>
      </c>
      <c r="B8" s="18">
        <v>351000000</v>
      </c>
      <c r="C8" s="18">
        <v>332000000</v>
      </c>
      <c r="D8" s="18">
        <v>246000000</v>
      </c>
      <c r="E8" s="18">
        <v>231000000</v>
      </c>
      <c r="F8" s="8" t="s">
        <v>89</v>
      </c>
    </row>
    <row r="9" spans="1:6" x14ac:dyDescent="0.25">
      <c r="A9" t="s">
        <v>90</v>
      </c>
      <c r="B9" s="18">
        <v>18140000000</v>
      </c>
      <c r="C9" s="18">
        <v>31311000000</v>
      </c>
      <c r="D9" s="18">
        <v>17937000000</v>
      </c>
      <c r="E9" s="18">
        <v>23237000000</v>
      </c>
      <c r="F9" s="8" t="s">
        <v>91</v>
      </c>
    </row>
    <row r="10" spans="1:6" x14ac:dyDescent="0.25">
      <c r="A10" t="s">
        <v>92</v>
      </c>
      <c r="B10" s="18">
        <v>179219000000</v>
      </c>
      <c r="C10" s="18">
        <v>171327000000</v>
      </c>
      <c r="D10" s="18">
        <v>150000000000</v>
      </c>
      <c r="E10" s="18">
        <v>119497000000</v>
      </c>
      <c r="F10" s="8" t="s">
        <v>93</v>
      </c>
    </row>
    <row r="11" spans="1:6" x14ac:dyDescent="0.25">
      <c r="A11" t="s">
        <v>94</v>
      </c>
      <c r="B11" s="18">
        <v>52889000000</v>
      </c>
      <c r="C11" s="18">
        <v>70353000000</v>
      </c>
      <c r="D11" s="18">
        <v>90214000000</v>
      </c>
      <c r="E11" s="18">
        <v>87614000000</v>
      </c>
      <c r="F11" s="8" t="s">
        <v>95</v>
      </c>
    </row>
    <row r="12" spans="1:6" x14ac:dyDescent="0.25">
      <c r="A12" t="s">
        <v>32</v>
      </c>
      <c r="B12" s="34">
        <v>2989700000</v>
      </c>
      <c r="C12" s="34">
        <v>3228700000</v>
      </c>
      <c r="D12" s="34">
        <v>3565300000</v>
      </c>
      <c r="E12" s="34">
        <v>3624300000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2026-09-19T00:06:31Z</dcterms:modified>
</cp:coreProperties>
</file>