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<sst xmlns="http://schemas.openxmlformats.org/spreadsheetml/2006/main" count="114" uniqueCount="102">
  <si>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Intel Corporation (INTC)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</si>
  <si>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</si>
  <si>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</si>
  <si>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</si>
  <si>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</si>
  <si>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</si>
  <si>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</si>
  <si>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</si>
  <si>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</si>
  <si>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</si>
  <si>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</si>
  <si>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</si>
  <si>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</si>
  <si>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</si>
  <si>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</si>
  <si>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</si>
  <si>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</si>
  <si>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</si>
  <si>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</si>
  <si>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</si>
  <si>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</si>
  <si>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</si>
  <si>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</si>
  <si>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</si>
  <si>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</si>
  <si>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</si>
  <si>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</si>
  <si>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</si>
  <si>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</si>
  <si>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</si>
  <si>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</si>
  <si>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</si>
  <si>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</si>
  <si>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</si>
  <si>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</si>
  <si>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</si>
  <si>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</si>
  <si>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</si>
  <si>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</si>
  <si>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</si>
  <si>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</si>
  <si>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</si>
  <si>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</si>
  <si>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</si>
  <si>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</si>
  <si>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</si>
  <si>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</si>
  <si>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</si>
  <si>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</si>
  <si>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</si>
  <si>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</si>
  <si>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</si>
  <si>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</si>
  <si>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</si>
  <si>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</si>
  <si>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</si>
  <si>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</si>
  <si>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</si>
  <si>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</si>
  <si>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</si>
  <si>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</si>
  <si>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</si>
  <si>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</si>
  <si>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</si>
  <si>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</si>
  <si>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</si>
  <si>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</si>
  <si>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</si>
  <si>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</si>
  <si>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</si>
  <si>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</si>
  <si>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</si>
  <si>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</si>
  <si>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</si>
  <si>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</si>
  <si>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</si>
  <si>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</si>
  <si>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</si>
  <si>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</si>
  <si>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</si>
  <si>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</si>
  <si>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</si>
  <si>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</si>
  <si>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</si>
  <si>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</si>
  <si>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</si>
  <si>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</si>
  <si>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</si>
  <si>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</si>
  <si>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</si>
  <si>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</si>
  <si>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</si>
  <si>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</si>
  <si>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</si>
  <si>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</si>
  <si>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</si>
  <si>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</si>
  <si>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</si>
  <si>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</si>
  <si>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39.9% of revenue against depreciation of 20.5%. A perpetuity has to be a steady state, so the terminal year uses maintenance capex at depreciation and then charges the reinvestment terminal growth requires (g/ROIC of NOPAT). The bridge is shown under Terminal Value.</t>
  </si>
  <si>
    <t>Current EV/EBITDA of 49.9x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</si>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</sst>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-0.05712887978236014</v>
      </c>
    </row>
    <row r="7" spans="1:2" x14ac:dyDescent="0.25">
      <c r="A7" t="s">
        <v>5</v>
      </c>
      <c r="B7" s="6">
        <v>-0.012869282336590303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0.20489168465243782</v>
      </c>
    </row>
    <row r="10" spans="1:2" x14ac:dyDescent="0.25">
      <c r="A10" t="s">
        <v>8</v>
      </c>
      <c r="B10" s="6">
        <v>0.39922023148453045</v>
      </c>
    </row>
    <row r="11" spans="1:2" x14ac:dyDescent="0.25">
      <c r="A11" t="s">
        <v>9</v>
      </c>
      <c r="B11" s="6">
        <v>-0.06446861545433945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0.14202159409156426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1.82477</v>
      </c>
      <c r="C19" s="8" t="s">
        <v>19</v>
      </c>
    </row>
    <row r="20" spans="1:2" x14ac:dyDescent="0.25">
      <c r="A20" t="s">
        <v>20</v>
      </c>
      <c r="B20" s="10">
        <f>B17+B19*B18</f>
        <v>0.15034235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574070980608</v>
      </c>
    </row>
    <row r="23" spans="1:2" x14ac:dyDescent="0.25">
      <c r="A23" t="s">
        <v>24</v>
      </c>
      <c r="B23" s="11">
        <v>46585000000</v>
      </c>
    </row>
    <row r="24" spans="1:2" x14ac:dyDescent="0.25">
      <c r="A24" t="s">
        <v>25</v>
      </c>
      <c r="B24" s="10">
        <f>B22/(B22+B23)</f>
        <v>0.924942316749506</v>
      </c>
    </row>
    <row r="25" spans="1:2" x14ac:dyDescent="0.25">
      <c r="A25" t="s">
        <v>26</v>
      </c>
      <c r="B25" s="10">
        <f>1-B24</f>
        <v>0.075057683250494</v>
      </c>
    </row>
    <row r="26" spans="1:2" x14ac:dyDescent="0.25">
      <c r="A26" t="s">
        <v>27</v>
      </c>
      <c r="B26" s="12">
        <f>B24*B20+B25*B21*(1-B8)</f>
        <v>0.14202159409156426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52853000000</v>
      </c>
      <c r="C29" s="8" t="s">
        <v>30</v>
      </c>
    </row>
    <row r="30" spans="1:2" x14ac:dyDescent="0.25">
      <c r="A30" t="s">
        <v>31</v>
      </c>
      <c r="B30" s="11">
        <v>9169000000</v>
      </c>
    </row>
    <row r="31" spans="1:2" x14ac:dyDescent="0.25">
      <c r="A31" t="s">
        <v>32</v>
      </c>
      <c r="B31" s="13">
        <v>4530000000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-0.05712887978236014</v>
      </c>
      <c r="C5" s="10">
        <f>Assumptions!B6</f>
        <v>-0.05712887978236014</v>
      </c>
      <c r="D5" s="10">
        <f>Assumptions!B6</f>
        <v>-0.05712887978236014</v>
      </c>
      <c r="E5" s="10">
        <f>Assumptions!B6</f>
        <v>-0.05712887978236014</v>
      </c>
      <c r="F5" s="10">
        <f>Assumptions!B6</f>
        <v>-0.05712887978236014</v>
      </c>
    </row>
    <row r="6" spans="1:6" x14ac:dyDescent="0.25">
      <c r="A6" t="s">
        <v>43</v>
      </c>
      <c r="B6" s="18">
        <f>Assumptions!B29*(1+B5)</f>
        <v>49833567316.86292</v>
      </c>
      <c r="C6" s="18">
        <f>B6*(1+C5)</f>
        <v>46986631440.49171</v>
      </c>
      <c r="D6" s="18">
        <f>C6*(1+D5)</f>
        <v>44302337821.54979</v>
      </c>
      <c r="E6" s="18">
        <f>D6*(1+E5)</f>
        <v>41771394890.064964</v>
      </c>
      <c r="F6" s="18">
        <f>E6*(1+F5)</f>
        <v>39385041893.04895</v>
      </c>
    </row>
    <row r="7" spans="1:6" x14ac:dyDescent="0.25">
      <c r="A7" t="s">
        <v>5</v>
      </c>
      <c r="B7" s="10">
        <f>Assumptions!B7</f>
        <v>-0.012869282336590303</v>
      </c>
      <c r="C7" s="10">
        <f>Assumptions!B7</f>
        <v>-0.012869282336590303</v>
      </c>
      <c r="D7" s="10">
        <f>Assumptions!B7</f>
        <v>-0.012869282336590303</v>
      </c>
      <c r="E7" s="10">
        <f>Assumptions!B7</f>
        <v>-0.012869282336590303</v>
      </c>
      <c r="F7" s="10">
        <f>Assumptions!B7</f>
        <v>-0.012869282336590303</v>
      </c>
    </row>
    <row r="8" spans="1:6" x14ac:dyDescent="0.25">
      <c r="A8" t="s">
        <v>44</v>
      </c>
      <c r="B8" s="18">
        <f>B6*B7</f>
        <v>-641322247.6401879</v>
      </c>
      <c r="C8" s="18">
        <f>C6*C7</f>
        <v>-604684226.0529985</v>
      </c>
      <c r="D8" s="18">
        <f>D6*D7</f>
        <v>-570139293.5965272</v>
      </c>
      <c r="E8" s="18">
        <f>E6*E7</f>
        <v>-537567874.4334515</v>
      </c>
      <c r="F8" s="18">
        <f>F6*F7</f>
        <v>-506857223.96008396</v>
      </c>
    </row>
    <row r="9" spans="1:6" x14ac:dyDescent="0.25">
      <c r="A9" t="s">
        <v>45</v>
      </c>
      <c r="B9" s="18">
        <f>B8*(1-Assumptions!B8)</f>
        <v>-506644575.63574845</v>
      </c>
      <c r="C9" s="18">
        <f>C8*(1-Assumptions!B8)</f>
        <v>-477700538.5818689</v>
      </c>
      <c r="D9" s="18">
        <f>D8*(1-Assumptions!B8)</f>
        <v>-450410041.9412565</v>
      </c>
      <c r="E9" s="18">
        <f>E8*(1-Assumptions!B8)</f>
        <v>-424678620.80242676</v>
      </c>
      <c r="F9" s="18">
        <f>F8*(1-Assumptions!B8)</f>
        <v>-400417206.9284663</v>
      </c>
    </row>
    <row r="10" spans="1:6" x14ac:dyDescent="0.25">
      <c r="A10" t="s">
        <v>46</v>
      </c>
      <c r="B10" s="18">
        <f>B6*Assumptions!B9</f>
        <v>10210483559.79271</v>
      </c>
      <c r="C10" s="18">
        <f>C6*Assumptions!B9</f>
        <v>9627170071.985546</v>
      </c>
      <c r="D10" s="18">
        <f>D6*Assumptions!B9</f>
        <v>9077180630.298748</v>
      </c>
      <c r="E10" s="18">
        <f>E6*Assumptions!B9</f>
        <v>8558611469.307643</v>
      </c>
      <c r="F10" s="18">
        <f>F6*Assumptions!B9</f>
        <v>8069667583.573638</v>
      </c>
    </row>
    <row r="11" spans="1:6" x14ac:dyDescent="0.25">
      <c r="A11" t="s">
        <v>47</v>
      </c>
      <c r="B11" s="18">
        <f>-B6*Assumptions!B10</f>
        <v>-19894568279.937946</v>
      </c>
      <c r="C11" s="18">
        <f>-C6*Assumptions!B10</f>
        <v>-18758013880.351418</v>
      </c>
      <c r="D11" s="18">
        <f>-D6*Assumptions!B10</f>
        <v>-17686389560.424976</v>
      </c>
      <c r="E11" s="18">
        <f>-E6*Assumptions!B10</f>
        <v>-16675985937.443468</v>
      </c>
      <c r="F11" s="18">
        <f>-F6*Assumptions!B10</f>
        <v>-15723305541.57093</v>
      </c>
    </row>
    <row r="12" spans="1:6" x14ac:dyDescent="0.25">
      <c r="A12" t="s">
        <v>48</v>
      </c>
      <c r="B12" s="18">
        <f>-(B6-Assumptions!B29)*Assumptions!B11</f>
        <v>-194658644.53942862</v>
      </c>
      <c r="C12" s="18">
        <f>-(C6-B6)*Assumptions!B11</f>
        <v>-183538014.23693877</v>
      </c>
      <c r="D12" s="18">
        <f>-(D6-C6)*Assumptions!B11</f>
        <v>-173052693.08610365</v>
      </c>
      <c r="E12" s="18">
        <f>-(E6-D6)*Assumptions!B11</f>
        <v>-163166386.58677378</v>
      </c>
      <c r="F12" s="18">
        <f>-(F6-E6)*Assumptions!B11</f>
        <v>-153844873.70293587</v>
      </c>
    </row>
    <row r="13" spans="1:6" x14ac:dyDescent="0.25">
      <c r="A13" s="19" t="s">
        <v>49</v>
      </c>
      <c r="B13" s="20">
        <f>B9+B10+B11+B12</f>
        <v>-10385387940.320414</v>
      </c>
      <c r="C13" s="20">
        <f>C9+C10+C11+C12</f>
        <v>-9792082361.184679</v>
      </c>
      <c r="D13" s="20">
        <f>D9+D10+D11+D12</f>
        <v>-9232671665.15359</v>
      </c>
      <c r="E13" s="20">
        <f>E9+E10+E11+E12</f>
        <v>-8705219475.525024</v>
      </c>
      <c r="F13" s="20">
        <f>F9+F10+F11+F12</f>
        <v>-8207900038.628695</v>
      </c>
    </row>
    <row r="14" spans="1:6" x14ac:dyDescent="0.25">
      <c r="A14" t="s">
        <v>50</v>
      </c>
      <c r="B14" s="21">
        <f>1/(1+Assumptions!$B$26)^(1-0.5*Assumptions!$B$32)</f>
        <v>0.9357564774375103</v>
      </c>
      <c r="C14" s="21">
        <f>1/(1+Assumptions!$B$26)^(2-0.5*Assumptions!$B$32)</f>
        <v>0.8193859750803308</v>
      </c>
      <c r="D14" s="21">
        <f>1/(1+Assumptions!$B$26)^(3-0.5*Assumptions!$B$32)</f>
        <v>0.7174872868600369</v>
      </c>
      <c r="E14" s="21">
        <f>1/(1+Assumptions!$B$26)^(4-0.5*Assumptions!$B$32)</f>
        <v>0.6282607006488098</v>
      </c>
      <c r="F14" s="21">
        <f>1/(1+Assumptions!$B$26)^(5-0.5*Assumptions!$B$32)</f>
        <v>0.5501303161859805</v>
      </c>
    </row>
    <row r="15" spans="1:6" x14ac:dyDescent="0.25">
      <c r="A15" s="19" t="s">
        <v>51</v>
      </c>
      <c r="B15" s="20">
        <f>B13*B14</f>
        <v>-9718194035.856232</v>
      </c>
      <c r="C15" s="20">
        <f>C13*C14</f>
        <v>-8023494953.586217</v>
      </c>
      <c r="D15" s="20">
        <f>D13*D14</f>
        <v>-6624324543.500588</v>
      </c>
      <c r="E15" s="20">
        <f>E13*E14</f>
        <v>-5469147286.995016</v>
      </c>
      <c r="F15" s="20">
        <f>F13*F14</f>
        <v>-4515414643.473725</v>
      </c>
    </row>
    <row r="17" spans="1:2" x14ac:dyDescent="0.25">
      <c r="A17" s="22" t="s">
        <v>52</v>
      </c>
      <c r="B17" s="23">
        <f>SUM(B15:F15)</f>
        <v>-34350575463.411774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-8207900038.628695</v>
      </c>
    </row>
    <row r="5" spans="1:2" x14ac:dyDescent="0.25">
      <c r="A5" t="s">
        <v>56</v>
      </c>
      <c r="B5" s="18">
        <f>IF(Assumptions!$B$33=0,B4,B4-Forecast!F11-Forecast!F10-Forecast!F12)</f>
        <v>435425518.5993048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0.17602956902372174</v>
      </c>
    </row>
    <row r="7" spans="1:2" x14ac:dyDescent="0.25">
      <c r="A7" t="s">
        <v>58</v>
      </c>
      <c r="B7" s="18">
        <f>-MAX(Forecast!F9,0)*B6</f>
        <v>-76647766.38096616</v>
      </c>
    </row>
    <row r="8" spans="1:2" x14ac:dyDescent="0.25">
      <c r="A8" t="s">
        <v>59</v>
      </c>
      <c r="B8" s="18">
        <f>IF(OR(Assumptions!$B$33=0,Assumptions!B12&lt;=0),B5,MAX(B5+B7,0))</f>
        <v>358777752.2183386</v>
      </c>
    </row>
    <row r="9" spans="1:2" x14ac:dyDescent="0.25">
      <c r="A9" t="s">
        <v>60</v>
      </c>
      <c r="B9" s="18">
        <f>B8*(1+Assumptions!B12)/(Assumptions!B26-Assumptions!B12)</f>
        <v>3142558421.6196113</v>
      </c>
    </row>
    <row r="10" spans="1:2" x14ac:dyDescent="0.25">
      <c r="A10" t="s">
        <v>61</v>
      </c>
      <c r="B10" s="18">
        <f>B9/(1+Assumptions!B26)^(5-0.5*Assumptions!B32)</f>
        <v>1728816658.1185126</v>
      </c>
    </row>
    <row r="11" spans="1:2" x14ac:dyDescent="0.25">
      <c r="A11" t="s">
        <v>62</v>
      </c>
      <c r="B11" s="18">
        <f>Forecast!B17+B10</f>
        <v>-32621758805.293262</v>
      </c>
    </row>
    <row r="12" spans="1:2" x14ac:dyDescent="0.25">
      <c r="A12" t="s">
        <v>63</v>
      </c>
      <c r="B12" s="18">
        <f>-Assumptions!B30</f>
        <v>-9168999999.999996</v>
      </c>
    </row>
    <row r="13" spans="1:2" x14ac:dyDescent="0.25">
      <c r="A13" t="s">
        <v>64</v>
      </c>
      <c r="B13" s="18">
        <f>B11+B12</f>
        <v>-41790758805.29326</v>
      </c>
    </row>
    <row r="14" spans="1:2" x14ac:dyDescent="0.25">
      <c r="A14" s="19" t="s">
        <v>65</v>
      </c>
      <c r="B14" s="24">
        <f>B13/Assumptions!B31</f>
        <v>-9.225333069601161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7562810359.613554</v>
      </c>
    </row>
    <row r="18" spans="1:2" x14ac:dyDescent="0.25">
      <c r="A18" t="s">
        <v>60</v>
      </c>
      <c r="B18" s="18">
        <f>B17*Assumptions!B13</f>
        <v>151256207192.2711</v>
      </c>
    </row>
    <row r="19" spans="1:2" x14ac:dyDescent="0.25">
      <c r="A19" t="s">
        <v>61</v>
      </c>
      <c r="B19" s="18">
        <f>B18/(1+Assumptions!B26)^(5-0.5*Assumptions!B32)</f>
        <v>83210625087.77628</v>
      </c>
    </row>
    <row r="20" spans="1:2" x14ac:dyDescent="0.25">
      <c r="A20" t="s">
        <v>62</v>
      </c>
      <c r="B20" s="18">
        <f>Forecast!B17+B19</f>
        <v>48860049624.3645</v>
      </c>
    </row>
    <row r="21" spans="1:2" x14ac:dyDescent="0.25">
      <c r="A21" t="s">
        <v>63</v>
      </c>
      <c r="B21" s="18">
        <f>-Assumptions!B30</f>
        <v>-9169000000</v>
      </c>
    </row>
    <row r="22" spans="1:2" x14ac:dyDescent="0.25">
      <c r="A22" t="s">
        <v>64</v>
      </c>
      <c r="B22" s="18">
        <f>B20+B21</f>
        <v>39691049624.3645</v>
      </c>
    </row>
    <row r="23" spans="1:2" x14ac:dyDescent="0.25">
      <c r="A23" s="19" t="s">
        <v>65</v>
      </c>
      <c r="B23" s="25">
        <f>B22/Assumptions!B31</f>
        <v>8.761821109131237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108.6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-9.225333069601161</v>
      </c>
    </row>
    <row r="29" spans="1:2" x14ac:dyDescent="0.25">
      <c r="A29" s="19" t="s">
        <v>73</v>
      </c>
      <c r="B29" s="12">
        <f>B28/B26-1</f>
        <v>-1.0849478183204526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0.122022</v>
      </c>
      <c r="B5" s="31">
        <v>-9.422853021995554</v>
      </c>
      <c r="C5" s="31">
        <v>-9.420506949839423</v>
      </c>
      <c r="D5" s="31">
        <v>-9.418160877683286</v>
      </c>
      <c r="E5" s="31">
        <v>-9.415814805527155</v>
      </c>
      <c r="F5" s="31">
        <v>-9.413468733371019</v>
      </c>
    </row>
    <row r="6" spans="1:6" x14ac:dyDescent="0.25">
      <c r="A6" s="30">
        <v>0.132022</v>
      </c>
      <c r="B6" s="31">
        <v>-9.327482477940721</v>
      </c>
      <c r="C6" s="31">
        <v>-9.325398982902918</v>
      </c>
      <c r="D6" s="31">
        <v>-9.323315487865113</v>
      </c>
      <c r="E6" s="31">
        <v>-9.321231992827308</v>
      </c>
      <c r="F6" s="31">
        <v>-9.319148497789504</v>
      </c>
    </row>
    <row r="7" spans="1:6" x14ac:dyDescent="0.25">
      <c r="A7" s="30">
        <v>0.142022</v>
      </c>
      <c r="B7" s="31">
        <v>-9.229052323090233</v>
      </c>
      <c r="C7" s="31">
        <v>-9.22719068635742</v>
      </c>
      <c r="D7" s="32">
        <v>-9.225329049624607</v>
      </c>
      <c r="E7" s="31">
        <v>-9.223467412891791</v>
      </c>
      <c r="F7" s="31">
        <v>-9.22160577615898</v>
      </c>
    </row>
    <row r="8" spans="1:6" x14ac:dyDescent="0.25">
      <c r="A8" s="30">
        <v>0.152022</v>
      </c>
      <c r="B8" s="31">
        <v>-9.12899128930234</v>
      </c>
      <c r="C8" s="31">
        <v>-9.127319021759623</v>
      </c>
      <c r="D8" s="31">
        <v>-9.125646754216904</v>
      </c>
      <c r="E8" s="31">
        <v>-9.123974486674186</v>
      </c>
      <c r="F8" s="31">
        <v>-9.12230221913147</v>
      </c>
    </row>
    <row r="9" spans="1:6" x14ac:dyDescent="0.25">
      <c r="A9" s="30">
        <v>0.162022</v>
      </c>
      <c r="B9" s="31">
        <v>-9.028326949906615</v>
      </c>
      <c r="C9" s="31">
        <v>-9.026817748801994</v>
      </c>
      <c r="D9" s="31">
        <v>-9.025308547697374</v>
      </c>
      <c r="E9" s="31">
        <v>-9.023799346592755</v>
      </c>
      <c r="F9" s="31">
        <v>-9.022290145488135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52853000000</v>
      </c>
      <c r="C5" s="18">
        <v>53101000000</v>
      </c>
      <c r="D5" s="18">
        <v>54228000000</v>
      </c>
      <c r="E5" s="18">
        <v>63054000000</v>
      </c>
      <c r="F5" s="8" t="s">
        <v>84</v>
      </c>
    </row>
    <row r="6" spans="1:6" x14ac:dyDescent="0.25">
      <c r="A6" t="s">
        <v>44</v>
      </c>
      <c r="B6" s="18">
        <v>-23000000</v>
      </c>
      <c r="C6" s="18">
        <v>-4708000000</v>
      </c>
      <c r="D6" s="18">
        <v>31000000</v>
      </c>
      <c r="E6" s="18">
        <v>2336000000</v>
      </c>
      <c r="F6" s="8" t="s">
        <v>85</v>
      </c>
    </row>
    <row r="7" spans="1:6" x14ac:dyDescent="0.25">
      <c r="A7" t="s">
        <v>86</v>
      </c>
      <c r="B7" s="18">
        <v>11706000000</v>
      </c>
      <c r="C7" s="18">
        <v>11379000000</v>
      </c>
      <c r="D7" s="18">
        <v>9602000000</v>
      </c>
      <c r="E7" s="18">
        <v>13035000000</v>
      </c>
      <c r="F7" s="8" t="s">
        <v>87</v>
      </c>
    </row>
    <row r="8" spans="1:6" x14ac:dyDescent="0.25">
      <c r="A8" t="s">
        <v>88</v>
      </c>
      <c r="B8" s="18">
        <v>14646000000</v>
      </c>
      <c r="C8" s="18">
        <v>23944000000</v>
      </c>
      <c r="D8" s="18">
        <v>25750000000</v>
      </c>
      <c r="E8" s="18">
        <v>24844000000</v>
      </c>
      <c r="F8" s="8" t="s">
        <v>89</v>
      </c>
    </row>
    <row r="9" spans="1:6" x14ac:dyDescent="0.25">
      <c r="A9" t="s">
        <v>90</v>
      </c>
      <c r="B9" s="18">
        <v>1747000000</v>
      </c>
      <c r="C9" s="18">
        <v>-1103000000</v>
      </c>
      <c r="D9" s="18">
        <v>569000000</v>
      </c>
      <c r="E9" s="18">
        <v>-339000000</v>
      </c>
      <c r="F9" s="8" t="s">
        <v>91</v>
      </c>
    </row>
    <row r="10" spans="1:6" x14ac:dyDescent="0.25">
      <c r="A10" t="s">
        <v>92</v>
      </c>
      <c r="B10" s="18">
        <v>46585000000</v>
      </c>
      <c r="C10" s="18">
        <v>50011000000</v>
      </c>
      <c r="D10" s="18">
        <v>49266000000</v>
      </c>
      <c r="E10" s="18">
        <v>42007000000</v>
      </c>
      <c r="F10" s="8" t="s">
        <v>93</v>
      </c>
    </row>
    <row r="11" spans="1:6" x14ac:dyDescent="0.25">
      <c r="A11" t="s">
        <v>94</v>
      </c>
      <c r="B11" s="18">
        <v>37416000000</v>
      </c>
      <c r="C11" s="18">
        <v>22062000000</v>
      </c>
      <c r="D11" s="18">
        <v>25034000000</v>
      </c>
      <c r="E11" s="18">
        <v>28338000000</v>
      </c>
      <c r="F11" s="8" t="s">
        <v>95</v>
      </c>
    </row>
    <row r="12" spans="1:6" x14ac:dyDescent="0.25">
      <c r="A12" t="s">
        <v>32</v>
      </c>
      <c r="B12" s="34">
        <v>4530000000</v>
      </c>
      <c r="C12" s="34">
        <v>4280000000</v>
      </c>
      <c r="D12" s="34">
        <v>4212000000</v>
      </c>
      <c r="E12" s="34">
        <v>4123000000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2026-09-19T00:07:01Z</dcterms:modified>
</cp:coreProperties>
</file>