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<sst xmlns="http://schemas.openxmlformats.org/spreadsheetml/2006/main" count="122" uniqueCount="109">
  <si>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Intel Corporation (INTC)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</si>
  <si>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</si>
  <si>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</si>
  <si>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</si>
  <si>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</si>
  <si>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</si>
  <si>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</si>
  <si>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</si>
  <si>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</si>
  <si>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</si>
  <si>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</si>
  <si>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</si>
  <si>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</si>
  <si>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</si>
  <si>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</si>
  <si>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</si>
  <si>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</si>
  <si>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</si>
  <si>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</si>
  <si>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</si>
  <si>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</si>
  <si>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</si>
  <si>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</si>
  <si>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</si>
  <si>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-0.0x interest cover, capped at 200bp because one year's cover is too noisy to charge more. Book interest / average debt was lower, at 2.3%.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</si>
  <si>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</si>
  <si>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</si>
  <si>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</si>
  <si>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</si>
  <si>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</si>
  <si>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</si>
  <si>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</si>
  <si>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</si>
  <si>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</si>
  <si>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</si>
  <si>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</si>
  <si>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</si>
  <si>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</si>
  <si>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</si>
  <si>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</si>
  <si>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</si>
  <si>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</si>
  <si>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</si>
  <si>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</si>
  <si>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</si>
  <si>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</si>
  <si>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</si>
  <si>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</si>
  <si>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</si>
  <si>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</si>
  <si>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</si>
  <si>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</si>
  <si>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</si>
  <si>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</si>
  <si>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</si>
  <si>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</si>
  <si>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</si>
  <si>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</si>
  <si>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</si>
  <si>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</si>
  <si>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</si>
  <si>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</si>
  <si>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</si>
  <si>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</si>
  <si>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</si>
  <si>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</si>
  <si>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</si>
  <si>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</si>
  <si>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</si>
  <si>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</si>
  <si>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</si>
  <si>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</si>
  <si>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</si>
  <si>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</si>
  <si>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</si>
  <si>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</si>
  <si>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</si>
  <si>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</si>
  <si>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</si>
  <si>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</si>
  <si>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</si>
  <si>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</si>
  <si>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</si>
  <si>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</si>
  <si>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</si>
  <si>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</si>
  <si>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</si>
  <si>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</si>
  <si>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</si>
  <si>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</si>
  <si>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</si>
  <si>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</si>
  <si>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</si>
  <si>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</si>
  <si>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</si>
  <si>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</si>
  <si>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</si>
  <si>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</si>
  <si>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</si>
  <si>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</si>
  <si>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</si>
  <si>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</si>
  <si>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</si>
  <si>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</si>
  <si>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</si>
  <si>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</si>
  <si>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39.9% of revenue against depreciation of 20.5%.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</si>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</sst>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0.18099845590600339</v>
      </c>
    </row>
    <row r="7" spans="1:2" x14ac:dyDescent="0.25">
      <c r="A7" t="s">
        <v>4</v>
      </c>
      <c r="B7" s="5">
        <v>-0.012869282336590303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0.20489168465243782</v>
      </c>
    </row>
    <row r="10" spans="1:3" x14ac:dyDescent="0.25">
      <c r="A10" t="s">
        <v>7</v>
      </c>
      <c r="B10" s="5">
        <v>0.39922023148453045</v>
      </c>
      <c r="C10" s="6" t="s">
        <v>8</v>
      </c>
    </row>
    <row r="11" spans="1:2" x14ac:dyDescent="0.25">
      <c r="A11" t="s">
        <v>9</v>
      </c>
      <c r="B11" s="5">
        <v>0.10761079797871603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0.1176742677106685</v>
      </c>
      <c r="C14" s="6" t="s">
        <v>13</v>
      </c>
    </row>
    <row r="15" spans="1:3" x14ac:dyDescent="0.25">
      <c r="A15" t="s">
        <v>14</v>
      </c>
      <c r="B15" s="5">
        <v>0.1780279639189687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1.8241</v>
      </c>
      <c r="C19" s="6" t="s">
        <v>21</v>
      </c>
    </row>
    <row r="20" spans="1:2" x14ac:dyDescent="0.25">
      <c r="A20" t="s">
        <v>22</v>
      </c>
      <c r="B20" s="9">
        <f>B17+B19*B18</f>
        <v>0.12609943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349514399744</v>
      </c>
    </row>
    <row r="23" spans="1:2" x14ac:dyDescent="0.25">
      <c r="A23" t="s">
        <v>26</v>
      </c>
      <c r="B23" s="10">
        <v>46585000000</v>
      </c>
    </row>
    <row r="24" spans="1:2" x14ac:dyDescent="0.25">
      <c r="A24" t="s">
        <v>27</v>
      </c>
      <c r="B24" s="9">
        <f>B22/(B22+B23)</f>
        <v>0.8823906321743784</v>
      </c>
    </row>
    <row r="25" spans="1:2" x14ac:dyDescent="0.25">
      <c r="A25" t="s">
        <v>28</v>
      </c>
      <c r="B25" s="9">
        <f>1-B24</f>
        <v>0.11760936782562159</v>
      </c>
    </row>
    <row r="26" spans="1:2" x14ac:dyDescent="0.25">
      <c r="A26" t="s">
        <v>29</v>
      </c>
      <c r="B26" s="11">
        <f>B24*B20+B25*B21*(1-B8)</f>
        <v>0.1176742677106685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52853000000</v>
      </c>
      <c r="C29" s="6" t="s">
        <v>32</v>
      </c>
    </row>
    <row r="30" spans="1:2" x14ac:dyDescent="0.25">
      <c r="A30" t="s">
        <v>33</v>
      </c>
      <c r="B30" s="10">
        <v>9169000000</v>
      </c>
    </row>
    <row r="31" spans="1:2" x14ac:dyDescent="0.25">
      <c r="A31" t="s">
        <v>34</v>
      </c>
      <c r="B31" s="12">
        <v>4530000000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0.18099845590600339</v>
      </c>
      <c r="C5" s="5">
        <v>0.13686387112832898</v>
      </c>
      <c r="D5" s="5">
        <v>0.12288088723728786</v>
      </c>
      <c r="E5" s="5">
        <v>0.10889790334624674</v>
      </c>
      <c r="F5" s="5">
        <v>0.09491491945520561</v>
      </c>
      <c r="G5" s="5">
        <v>0.08093193556416449</v>
      </c>
      <c r="H5" s="5">
        <v>0.06694895167312337</v>
      </c>
      <c r="I5" s="5">
        <v>0.052965967782082235</v>
      </c>
      <c r="J5" s="5">
        <v>0.038982983891041115</v>
      </c>
      <c r="K5" s="5">
        <v>0.024999999999999994</v>
      </c>
    </row>
    <row r="6" spans="1:11" x14ac:dyDescent="0.25">
      <c r="A6" t="s">
        <v>50</v>
      </c>
      <c r="B6" s="18">
        <f>Assumptions!B29*(1+B5)</f>
        <v>62419311390</v>
      </c>
      <c r="C6" s="18">
        <f>B6*(1+C5)</f>
        <v>70962259980</v>
      </c>
      <c r="D6" s="18">
        <f>C6*(1+D5)</f>
        <v>79682165446.70549</v>
      </c>
      <c r="E6" s="18">
        <f>D6*(1+E5)</f>
        <v>88359386197.94046</v>
      </c>
      <c r="F6" s="18">
        <f>E6*(1+F5)</f>
        <v>96746010222.02939</v>
      </c>
      <c r="G6" s="18">
        <f>F6*(1+G5)</f>
        <v>104575852087.40866</v>
      </c>
      <c r="H6" s="18">
        <f>G6*(1+H5)</f>
        <v>111577095754.98428</v>
      </c>
      <c r="I6" s="18">
        <f>H6*(1+I5)</f>
        <v>117486884613.96107</v>
      </c>
      <c r="J6" s="18">
        <f>I6*(1+J5)</f>
        <v>122066873944.27573</v>
      </c>
      <c r="K6" s="18">
        <f>J6*(1+K5)</f>
        <v>125118545792.88261</v>
      </c>
    </row>
    <row r="7" spans="1:11" x14ac:dyDescent="0.25">
      <c r="A7" t="s">
        <v>4</v>
      </c>
      <c r="B7" s="9">
        <f>Assumptions!B7</f>
        <v>-0.012869282336590303</v>
      </c>
      <c r="C7" s="9">
        <f>Assumptions!B7</f>
        <v>-0.012869282336590303</v>
      </c>
      <c r="D7" s="9">
        <f>Assumptions!B7</f>
        <v>-0.012869282336590303</v>
      </c>
      <c r="E7" s="9">
        <f>Assumptions!B7</f>
        <v>-0.012869282336590303</v>
      </c>
      <c r="F7" s="9">
        <f>Assumptions!B7</f>
        <v>-0.012869282336590303</v>
      </c>
      <c r="G7" s="9">
        <f>Assumptions!B7</f>
        <v>-0.012869282336590303</v>
      </c>
      <c r="H7" s="9">
        <f>Assumptions!B7</f>
        <v>-0.012869282336590303</v>
      </c>
      <c r="I7" s="9">
        <f>Assumptions!B7</f>
        <v>-0.012869282336590303</v>
      </c>
      <c r="J7" s="9">
        <f>Assumptions!B7</f>
        <v>-0.012869282336590303</v>
      </c>
      <c r="K7" s="9">
        <f>Assumptions!B7</f>
        <v>-0.012869282336590303</v>
      </c>
    </row>
    <row r="8" spans="1:11" x14ac:dyDescent="0.25">
      <c r="A8" t="s">
        <v>51</v>
      </c>
      <c r="B8" s="18">
        <f>B6*B7</f>
        <v>-803291741.5334569</v>
      </c>
      <c r="C8" s="18">
        <f>C6*C7</f>
        <v>-913233358.925143</v>
      </c>
      <c r="D8" s="18">
        <f>D6*D7</f>
        <v>-1025452284.3245531</v>
      </c>
      <c r="E8" s="18">
        <f>E6*E7</f>
        <v>-1137121888.069116</v>
      </c>
      <c r="F8" s="18">
        <f>F6*F7</f>
        <v>-1245051720.4859478</v>
      </c>
      <c r="G8" s="18">
        <f>G6*G7</f>
        <v>-1345816166.1023686</v>
      </c>
      <c r="H8" s="18">
        <f>H6*H7</f>
        <v>-1435917147.5676641</v>
      </c>
      <c r="I8" s="18">
        <f>I6*I7</f>
        <v>-1511971888.9434724</v>
      </c>
      <c r="J8" s="18">
        <f>J6*J7</f>
        <v>-1570913064.7338626</v>
      </c>
      <c r="K8" s="18">
        <f>K6*K7</f>
        <v>-1610185891.3522093</v>
      </c>
    </row>
    <row r="9" spans="1:11" x14ac:dyDescent="0.25">
      <c r="A9" t="s">
        <v>52</v>
      </c>
      <c r="B9" s="18">
        <f>B8*(1-Assumptions!B8)</f>
        <v>-634600475.811431</v>
      </c>
      <c r="C9" s="18">
        <f>C8*(1-Assumptions!B8)</f>
        <v>-721454353.550863</v>
      </c>
      <c r="D9" s="18">
        <f>D8*(1-Assumptions!B8)</f>
        <v>-810107304.616397</v>
      </c>
      <c r="E9" s="18">
        <f>E8*(1-Assumptions!B8)</f>
        <v>-898326291.5746018</v>
      </c>
      <c r="F9" s="18">
        <f>F8*(1-Assumptions!B8)</f>
        <v>-983590859.1838988</v>
      </c>
      <c r="G9" s="18">
        <f>G8*(1-Assumptions!B8)</f>
        <v>-1063194771.2208712</v>
      </c>
      <c r="H9" s="18">
        <f>H8*(1-Assumptions!B8)</f>
        <v>-1134374546.5784547</v>
      </c>
      <c r="I9" s="18">
        <f>I8*(1-Assumptions!B8)</f>
        <v>-1194457792.2653432</v>
      </c>
      <c r="J9" s="18">
        <f>J8*(1-Assumptions!B8)</f>
        <v>-1241021321.1397514</v>
      </c>
      <c r="K9" s="18">
        <f>K8*(1-Assumptions!B8)</f>
        <v>-1272046854.1682453</v>
      </c>
    </row>
    <row r="10" spans="1:11" x14ac:dyDescent="0.25">
      <c r="A10" t="s">
        <v>53</v>
      </c>
      <c r="B10" s="18">
        <f>B6*Assumptions!B9</f>
        <v>12789197865.5422</v>
      </c>
      <c r="C10" s="18">
        <f>C6*Assumptions!B9</f>
        <v>14539576994.046469</v>
      </c>
      <c r="D10" s="18">
        <f>D6*Assumptions!B9</f>
        <v>16326213115.129759</v>
      </c>
      <c r="E10" s="18">
        <f>E6*Assumptions!B9</f>
        <v>18104103492.95138</v>
      </c>
      <c r="F10" s="18">
        <f>F6*Assumptions!B9</f>
        <v>19822453017.79357</v>
      </c>
      <c r="G10" s="18">
        <f>G6*Assumptions!B9</f>
        <v>21426722508.153316</v>
      </c>
      <c r="H10" s="18">
        <f>H6*Assumptions!B9</f>
        <v>22861219117.865097</v>
      </c>
      <c r="I10" s="18">
        <f>I6*Assumptions!B9</f>
        <v>24072085713.12106</v>
      </c>
      <c r="J10" s="18">
        <f>J6*Assumptions!B9</f>
        <v>25010487442.69942</v>
      </c>
      <c r="K10" s="18">
        <f>K6*Assumptions!B9</f>
        <v>25635749628.766907</v>
      </c>
    </row>
    <row r="11" spans="1:11" x14ac:dyDescent="0.25">
      <c r="A11" t="s">
        <v>54</v>
      </c>
      <c r="B11" s="18">
        <f>-B6*B19</f>
        <v>-24919051942.220787</v>
      </c>
      <c r="C11" s="18">
        <f>-C6*C19</f>
        <v>-26604055528.445587</v>
      </c>
      <c r="D11" s="18">
        <f>-D6*D19</f>
        <v>-27935638416.95969</v>
      </c>
      <c r="E11" s="18">
        <f>-E6*E19</f>
        <v>-28829228997.92179</v>
      </c>
      <c r="F11" s="18">
        <f>-F6*F19</f>
        <v>-29213082396.27251</v>
      </c>
      <c r="G11" s="18">
        <f>-G6*G19</f>
        <v>-29034493153.491</v>
      </c>
      <c r="H11" s="18">
        <f>-H6*H19</f>
        <v>-28265219639.83796</v>
      </c>
      <c r="I11" s="18">
        <f>-I6*I19</f>
        <v>-26905509866.07729</v>
      </c>
      <c r="J11" s="18">
        <f>-J6*J19</f>
        <v>-24986195673.9297</v>
      </c>
      <c r="K11" s="18">
        <f>-K6*K19</f>
        <v>-22568475034.69488</v>
      </c>
    </row>
    <row r="12" spans="1:11" x14ac:dyDescent="0.25">
      <c r="A12" t="s">
        <v>55</v>
      </c>
      <c r="B12" s="18">
        <f>-(B6-Assumptions!B29)*Assumptions!B11</f>
        <v>-1029438402.3907802</v>
      </c>
      <c r="C12" s="18">
        <f>-(C6-B6)*Assumptions!B11</f>
        <v>-919313514.861047</v>
      </c>
      <c r="D12" s="18">
        <f>-(D6-C6)*Assumptions!B11</f>
        <v>-938355985.571146</v>
      </c>
      <c r="E12" s="18">
        <f>-(E6-D6)*Assumptions!B11</f>
        <v>-933762649.277869</v>
      </c>
      <c r="F12" s="18">
        <f>-(F6-E6)*Assumptions!B11</f>
        <v>-902491303.5796802</v>
      </c>
      <c r="G12" s="18">
        <f>-(G6-F6)*Assumptions!B11</f>
        <v>-842575531.180622</v>
      </c>
      <c r="H12" s="18">
        <f>-(H6-G6)*Assumptions!B11</f>
        <v>-753409417.9112452</v>
      </c>
      <c r="I12" s="18">
        <f>-(I6-H6)*Assumptions!B11</f>
        <v>-635957095.0002183</v>
      </c>
      <c r="J12" s="18">
        <f>-(J6-I6)*Assumptions!B11</f>
        <v>-492856306.5691649</v>
      </c>
      <c r="K12" s="18">
        <f>-(K6-J6)*Assumptions!B11</f>
        <v>-328392842.7977707</v>
      </c>
    </row>
    <row r="13" spans="1:11" x14ac:dyDescent="0.25">
      <c r="A13" s="19" t="s">
        <v>56</v>
      </c>
      <c r="B13" s="20">
        <f>B9+B10+B11+B12</f>
        <v>-13793892954.880798</v>
      </c>
      <c r="C13" s="20">
        <f>C9+C10+C11+C12</f>
        <v>-13705246402.81103</v>
      </c>
      <c r="D13" s="20">
        <f>D9+D10+D11+D12</f>
        <v>-13357888592.017475</v>
      </c>
      <c r="E13" s="20">
        <f>E9+E10+E11+E12</f>
        <v>-12557214445.822878</v>
      </c>
      <c r="F13" s="20">
        <f>F9+F10+F11+F12</f>
        <v>-11276711541.242517</v>
      </c>
      <c r="G13" s="20">
        <f>G9+G10+G11+G12</f>
        <v>-9513540947.739178</v>
      </c>
      <c r="H13" s="20">
        <f>H9+H10+H11+H12</f>
        <v>-7291784486.462561</v>
      </c>
      <c r="I13" s="20">
        <f>I9+I10+I11+I12</f>
        <v>-4663839040.221791</v>
      </c>
      <c r="J13" s="20">
        <f>J9+J10+J11+J12</f>
        <v>-1709585858.9391942</v>
      </c>
      <c r="K13" s="20">
        <f>K9+K10+K11+K12</f>
        <v>1466834897.1060112</v>
      </c>
    </row>
    <row r="14" spans="1:11" x14ac:dyDescent="0.25">
      <c r="A14" t="s">
        <v>57</v>
      </c>
      <c r="B14" s="21">
        <f>1/(1+Assumptions!$B$26)^(1-0.5*Assumptions!$B$32)</f>
        <v>0.945893789202385</v>
      </c>
      <c r="C14" s="21">
        <f>1/(1+Assumptions!$B$26)^(2-0.5*Assumptions!$B$32)</f>
        <v>0.8463054187870483</v>
      </c>
      <c r="D14" s="21">
        <f>1/(1+Assumptions!$B$26)^(3-0.5*Assumptions!$B$32)</f>
        <v>0.7572022039306096</v>
      </c>
      <c r="E14" s="21">
        <f>1/(1+Assumptions!$B$26)^(4-0.5*Assumptions!$B$32)</f>
        <v>0.6774802156638949</v>
      </c>
      <c r="F14" s="21">
        <f>1/(1+Assumptions!$B$26)^(5-0.5*Assumptions!$B$32)</f>
        <v>0.6061517521125159</v>
      </c>
      <c r="G14" s="21">
        <f>1/(1+Assumptions!$B$26)^(6-0.5*Assumptions!$B$32)</f>
        <v>0.5423331015342208</v>
      </c>
      <c r="H14" s="21">
        <f>1/(1+Assumptions!$B$26)^(7-0.5*Assumptions!$B$32)</f>
        <v>0.48523359372411906</v>
      </c>
      <c r="I14" s="21">
        <f>1/(1+Assumptions!$B$26)^(8-0.5*Assumptions!$B$32)</f>
        <v>0.43414580414204457</v>
      </c>
      <c r="J14" s="21">
        <f>1/(1+Assumptions!$B$26)^(9-0.5*Assumptions!$B$32)</f>
        <v>0.38843678939777787</v>
      </c>
      <c r="K14" s="21">
        <f>1/(1+Assumptions!$B$26)^(10-0.5*Assumptions!$B$32)</f>
        <v>0.3475402455076761</v>
      </c>
    </row>
    <row r="15" spans="1:11" x14ac:dyDescent="0.25">
      <c r="A15" s="19" t="s">
        <v>58</v>
      </c>
      <c r="B15" s="20">
        <f>B13*B14</f>
        <v>-13047557674.94428</v>
      </c>
      <c r="C15" s="20">
        <f>C13*C14</f>
        <v>-11598824296.510675</v>
      </c>
      <c r="D15" s="20">
        <f>D13*D14</f>
        <v>-10114622681.73518</v>
      </c>
      <c r="E15" s="20">
        <f>E13*E14</f>
        <v>-8507264350.89386</v>
      </c>
      <c r="F15" s="20">
        <f>F13*F14</f>
        <v>-6835398458.791582</v>
      </c>
      <c r="G15" s="20">
        <f>G13*G14</f>
        <v>-5159508168.760199</v>
      </c>
      <c r="H15" s="20">
        <f>H13*H14</f>
        <v>-3538218791.0280085</v>
      </c>
      <c r="I15" s="20">
        <f>I13*I14</f>
        <v>-2024786150.506151</v>
      </c>
      <c r="J15" s="20">
        <f>J13*J14</f>
        <v>-664066042.2461829</v>
      </c>
      <c r="K15" s="20">
        <f>K13*K14</f>
        <v>509784160.2594499</v>
      </c>
    </row>
    <row r="17" spans="1:2" x14ac:dyDescent="0.25">
      <c r="A17" s="22" t="s">
        <v>59</v>
      </c>
      <c r="B17" s="23">
        <f>SUM(B15:K15)</f>
        <v>-60980462455.15667</v>
      </c>
    </row>
    <row r="19" spans="1:11" x14ac:dyDescent="0.25">
      <c r="A19" t="s">
        <v>7</v>
      </c>
      <c r="B19" s="9">
        <f>Assumptions!$B$10+($B$20-Assumptions!$B$10)*0/9</f>
        <v>0.39922023148453045</v>
      </c>
      <c r="C19" s="9">
        <f>Assumptions!$B$10+($B$20-Assumptions!$B$10)*1/9</f>
        <v>0.37490428765859024</v>
      </c>
      <c r="D19" s="9">
        <f>Assumptions!$B$10+($B$20-Assumptions!$B$10)*2/9</f>
        <v>0.35058834383265003</v>
      </c>
      <c r="E19" s="9">
        <f>Assumptions!$B$10+($B$20-Assumptions!$B$10)*3/9</f>
        <v>0.3262724000067099</v>
      </c>
      <c r="F19" s="9">
        <f>Assumptions!$B$10+($B$20-Assumptions!$B$10)*4/9</f>
        <v>0.30195645618076966</v>
      </c>
      <c r="G19" s="9">
        <f>Assumptions!$B$10+($B$20-Assumptions!$B$10)*5/9</f>
        <v>0.27764051235482945</v>
      </c>
      <c r="H19" s="9">
        <f>Assumptions!$B$10+($B$20-Assumptions!$B$10)*6/9</f>
        <v>0.2533245685288893</v>
      </c>
      <c r="I19" s="9">
        <f>Assumptions!$B$10+($B$20-Assumptions!$B$10)*7/9</f>
        <v>0.22900862470294905</v>
      </c>
      <c r="J19" s="9">
        <f>Assumptions!$B$10+($B$20-Assumptions!$B$10)*8/9</f>
        <v>0.20469268087700887</v>
      </c>
      <c r="K19" s="9">
        <f>Assumptions!$B$10+($B$20-Assumptions!$B$10)*9/9</f>
        <v>0.18037673705106866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0.18037673705106866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1466834897.1060112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1383261387.3103933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0.21245086531125676</v>
      </c>
    </row>
    <row r="7" spans="1:2" x14ac:dyDescent="0.25">
      <c r="A7" t="s">
        <v>66</v>
      </c>
      <c r="B7" s="18">
        <f>-MAX(B5,0)*B6</f>
        <v>-293875078.68574256</v>
      </c>
    </row>
    <row r="8" spans="1:2" x14ac:dyDescent="0.25">
      <c r="A8" t="s">
        <v>67</v>
      </c>
      <c r="B8" s="18">
        <f>IF(OR(Assumptions!$B$33=0,Assumptions!B12&lt;=0),B5,MAX(B5+B7,0))</f>
        <v>1089386308.6246507</v>
      </c>
    </row>
    <row r="9" spans="1:2" x14ac:dyDescent="0.25">
      <c r="A9" t="s">
        <v>68</v>
      </c>
      <c r="B9" s="18">
        <f>B8*(1+Assumptions!B12)/(Assumptions!B26-Assumptions!B12)</f>
        <v>12048878226.11544</v>
      </c>
    </row>
    <row r="10" spans="1:2" x14ac:dyDescent="0.25">
      <c r="A10" t="s">
        <v>69</v>
      </c>
      <c r="B10" s="18">
        <f>B9/(1+Assumptions!B26)^(10-0.5*Assumptions!B32)</f>
        <v>4187470096.796253</v>
      </c>
    </row>
    <row r="11" spans="1:2" x14ac:dyDescent="0.25">
      <c r="A11" t="s">
        <v>70</v>
      </c>
      <c r="B11" s="18">
        <f>Forecast!B17+B10</f>
        <v>-56792992358.36041</v>
      </c>
    </row>
    <row r="12" spans="1:2" x14ac:dyDescent="0.25">
      <c r="A12" t="s">
        <v>71</v>
      </c>
      <c r="B12" s="18">
        <f>-Assumptions!B30</f>
        <v>-9169000000</v>
      </c>
    </row>
    <row r="13" spans="1:2" x14ac:dyDescent="0.25">
      <c r="A13" t="s">
        <v>72</v>
      </c>
      <c r="B13" s="18">
        <f>B11+B12</f>
        <v>-65961992358.36041</v>
      </c>
    </row>
    <row r="14" spans="1:2" x14ac:dyDescent="0.25">
      <c r="A14" s="19" t="s">
        <v>73</v>
      </c>
      <c r="B14" s="24">
        <f>B13/Assumptions!B31</f>
        <v>-14.5611462159736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24025563737.414696</v>
      </c>
    </row>
    <row r="18" spans="1:2" x14ac:dyDescent="0.25">
      <c r="A18" t="s">
        <v>68</v>
      </c>
      <c r="B18" s="18">
        <f>B17*Assumptions!B13</f>
        <v>480511274748.29395</v>
      </c>
    </row>
    <row r="19" spans="1:2" x14ac:dyDescent="0.25">
      <c r="A19" t="s">
        <v>69</v>
      </c>
      <c r="B19" s="18">
        <f>B18/(1+Assumptions!B26)^(10-0.5*Assumptions!B32)</f>
        <v>166997006395.2285</v>
      </c>
    </row>
    <row r="20" spans="1:2" x14ac:dyDescent="0.25">
      <c r="A20" t="s">
        <v>70</v>
      </c>
      <c r="B20" s="18">
        <f>Forecast!B17+B19</f>
        <v>106016543940.07181</v>
      </c>
    </row>
    <row r="21" spans="1:2" x14ac:dyDescent="0.25">
      <c r="A21" t="s">
        <v>71</v>
      </c>
      <c r="B21" s="18">
        <f>-Assumptions!B30</f>
        <v>-9169000000</v>
      </c>
    </row>
    <row r="22" spans="1:2" x14ac:dyDescent="0.25">
      <c r="A22" t="s">
        <v>72</v>
      </c>
      <c r="B22" s="18">
        <f>B20+B21</f>
        <v>96847543940.07181</v>
      </c>
    </row>
    <row r="23" spans="1:2" x14ac:dyDescent="0.25">
      <c r="A23" s="19" t="s">
        <v>73</v>
      </c>
      <c r="B23" s="25">
        <f>B22/Assumptions!B31</f>
        <v>21.379148772642782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65.76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-14.5611462159736</v>
      </c>
    </row>
    <row r="29" spans="1:2" x14ac:dyDescent="0.25">
      <c r="A29" s="19" t="s">
        <v>81</v>
      </c>
      <c r="B29" s="11">
        <f>B28/B26-1</f>
        <v>-1.2214286225056812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0.097674</v>
      </c>
      <c r="B5" s="31">
        <v>-14.868435393680999</v>
      </c>
      <c r="C5" s="31">
        <v>-14.898464011174571</v>
      </c>
      <c r="D5" s="31">
        <v>-14.928492628668145</v>
      </c>
      <c r="E5" s="31">
        <v>-14.958521246161714</v>
      </c>
      <c r="F5" s="31">
        <v>-14.988549863655285</v>
      </c>
    </row>
    <row r="6" spans="1:6" x14ac:dyDescent="0.25">
      <c r="A6" s="30">
        <v>0.107674</v>
      </c>
      <c r="B6" s="31">
        <v>-14.705151181377245</v>
      </c>
      <c r="C6" s="31">
        <v>-14.730934584559076</v>
      </c>
      <c r="D6" s="31">
        <v>-14.756717987740902</v>
      </c>
      <c r="E6" s="31">
        <v>-14.782501390922734</v>
      </c>
      <c r="F6" s="31">
        <v>-14.808284794104564</v>
      </c>
    </row>
    <row r="7" spans="1:6" x14ac:dyDescent="0.25">
      <c r="A7" s="30">
        <v>0.117674</v>
      </c>
      <c r="B7" s="31">
        <v>-14.51645348696937</v>
      </c>
      <c r="C7" s="31">
        <v>-14.53880258328945</v>
      </c>
      <c r="D7" s="32">
        <v>-14.561151679609535</v>
      </c>
      <c r="E7" s="31">
        <v>-14.583500775929622</v>
      </c>
      <c r="F7" s="31">
        <v>-14.605849872249706</v>
      </c>
    </row>
    <row r="8" spans="1:6" x14ac:dyDescent="0.25">
      <c r="A8" s="30">
        <v>0.127674</v>
      </c>
      <c r="B8" s="31">
        <v>-14.311986865520293</v>
      </c>
      <c r="C8" s="31">
        <v>-14.331515582299284</v>
      </c>
      <c r="D8" s="31">
        <v>-14.351044299078284</v>
      </c>
      <c r="E8" s="31">
        <v>-14.370573015857273</v>
      </c>
      <c r="F8" s="31">
        <v>-14.39010173263627</v>
      </c>
    </row>
    <row r="9" spans="1:6" x14ac:dyDescent="0.25">
      <c r="A9" s="30">
        <v>0.137674</v>
      </c>
      <c r="B9" s="31">
        <v>-14.098302555658696</v>
      </c>
      <c r="C9" s="31">
        <v>-14.115485596304493</v>
      </c>
      <c r="D9" s="31">
        <v>-14.132668636950282</v>
      </c>
      <c r="E9" s="31">
        <v>-14.149851677596073</v>
      </c>
      <c r="F9" s="31">
        <v>-14.167034718241863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52853000000</v>
      </c>
      <c r="C5" s="18">
        <v>53101000000</v>
      </c>
      <c r="D5" s="18">
        <v>54228000000</v>
      </c>
      <c r="E5" s="18">
        <v>63054000000</v>
      </c>
      <c r="F5" s="6" t="s">
        <v>91</v>
      </c>
    </row>
    <row r="6" spans="1:6" x14ac:dyDescent="0.25">
      <c r="A6" t="s">
        <v>51</v>
      </c>
      <c r="B6" s="18">
        <v>-23000000</v>
      </c>
      <c r="C6" s="18">
        <v>-4708000000</v>
      </c>
      <c r="D6" s="18">
        <v>31000000</v>
      </c>
      <c r="E6" s="18">
        <v>2336000000</v>
      </c>
      <c r="F6" s="6" t="s">
        <v>92</v>
      </c>
    </row>
    <row r="7" spans="1:6" x14ac:dyDescent="0.25">
      <c r="A7" t="s">
        <v>93</v>
      </c>
      <c r="B7" s="18">
        <v>11706000000</v>
      </c>
      <c r="C7" s="18">
        <v>11379000000</v>
      </c>
      <c r="D7" s="18">
        <v>9602000000</v>
      </c>
      <c r="E7" s="18">
        <v>13035000000</v>
      </c>
      <c r="F7" s="6" t="s">
        <v>94</v>
      </c>
    </row>
    <row r="8" spans="1:6" x14ac:dyDescent="0.25">
      <c r="A8" t="s">
        <v>95</v>
      </c>
      <c r="B8" s="18">
        <v>14646000000</v>
      </c>
      <c r="C8" s="18">
        <v>23944000000</v>
      </c>
      <c r="D8" s="18">
        <v>25750000000</v>
      </c>
      <c r="E8" s="18">
        <v>24844000000</v>
      </c>
      <c r="F8" s="6" t="s">
        <v>96</v>
      </c>
    </row>
    <row r="9" spans="1:6" x14ac:dyDescent="0.25">
      <c r="A9" t="s">
        <v>97</v>
      </c>
      <c r="B9" s="18">
        <v>1747000000</v>
      </c>
      <c r="C9" s="18">
        <v>-1103000000</v>
      </c>
      <c r="D9" s="18">
        <v>569000000</v>
      </c>
      <c r="E9" s="18">
        <v>-339000000</v>
      </c>
      <c r="F9" s="6" t="s">
        <v>98</v>
      </c>
    </row>
    <row r="10" spans="1:6" x14ac:dyDescent="0.25">
      <c r="A10" t="s">
        <v>99</v>
      </c>
      <c r="B10" s="18">
        <v>46585000000</v>
      </c>
      <c r="C10" s="18">
        <v>50011000000</v>
      </c>
      <c r="D10" s="18">
        <v>49266000000</v>
      </c>
      <c r="E10" s="18">
        <v>42007000000</v>
      </c>
      <c r="F10" s="6" t="s">
        <v>100</v>
      </c>
    </row>
    <row r="11" spans="1:6" x14ac:dyDescent="0.25">
      <c r="A11" t="s">
        <v>101</v>
      </c>
      <c r="B11" s="18">
        <v>37416000000</v>
      </c>
      <c r="C11" s="18">
        <v>22062000000</v>
      </c>
      <c r="D11" s="18">
        <v>25034000000</v>
      </c>
      <c r="E11" s="18">
        <v>28338000000</v>
      </c>
      <c r="F11" s="6" t="s">
        <v>102</v>
      </c>
    </row>
    <row r="12" spans="1:6" x14ac:dyDescent="0.25">
      <c r="A12" t="s">
        <v>34</v>
      </c>
      <c r="B12" s="34">
        <v>4530000000</v>
      </c>
      <c r="C12" s="34">
        <v>4280000000</v>
      </c>
      <c r="D12" s="34">
        <v>4212000000</v>
      </c>
      <c r="E12" s="34">
        <v>4123000000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