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<sst xmlns="http://schemas.openxmlformats.org/spreadsheetml/2006/main" count="119" uniqueCount="106">
  <si>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Intuit Inc. (INTU)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</si>
  <si>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</si>
  <si>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</si>
  <si>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</si>
  <si>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</si>
  <si>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</si>
  <si>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</si>
  <si>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</si>
  <si>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</si>
  <si>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</si>
  <si>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</si>
  <si>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</si>
  <si>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</si>
  <si>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</si>
  <si>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</si>
  <si>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</si>
  <si>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</si>
  <si>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</si>
  <si>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</si>
  <si>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</si>
  <si>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</si>
  <si>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</si>
  <si>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</si>
  <si>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</si>
  <si>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24.1x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</si>
  <si>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</si>
  <si>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</si>
  <si>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</si>
  <si>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</si>
  <si>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</si>
  <si>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</si>
  <si>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</si>
  <si>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2026-07-31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</si>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</sst>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0.09153946381947042</v>
      </c>
    </row>
    <row r="7" spans="1:2" x14ac:dyDescent="0.25">
      <c r="A7" t="s">
        <v>4</v>
      </c>
      <c r="B7" s="5">
        <v>0.2513587394481297</v>
      </c>
    </row>
    <row r="8" spans="1:2" x14ac:dyDescent="0.25">
      <c r="A8" t="s">
        <v>5</v>
      </c>
      <c r="B8" s="5">
        <v>0.20101823497632265</v>
      </c>
    </row>
    <row r="9" spans="1:2" x14ac:dyDescent="0.25">
      <c r="A9" t="s">
        <v>6</v>
      </c>
      <c r="B9" s="5">
        <v>0.04673792185177243</v>
      </c>
    </row>
    <row r="10" spans="1:3" x14ac:dyDescent="0.25">
      <c r="A10" t="s">
        <v>7</v>
      </c>
      <c r="B10" s="5">
        <v>0.012584049138000951</v>
      </c>
      <c r="C10" s="6" t="s">
        <v>8</v>
      </c>
    </row>
    <row r="11" spans="1:2" x14ac:dyDescent="0.25">
      <c r="A11" t="s">
        <v>9</v>
      </c>
      <c r="B11" s="5">
        <v>-0.015062232761266947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13.15285829987185</v>
      </c>
    </row>
    <row r="14" spans="1:3" x14ac:dyDescent="0.25">
      <c r="A14" t="s">
        <v>12</v>
      </c>
      <c r="B14" s="5">
        <v>0.13970181608564497</v>
      </c>
      <c r="C14" s="6" t="s">
        <v>13</v>
      </c>
    </row>
    <row r="15" spans="1:3" x14ac:dyDescent="0.25">
      <c r="A15" t="s">
        <v>14</v>
      </c>
      <c r="B15" s="5">
        <v>0.009688020058170831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1.00603</v>
      </c>
      <c r="C19" s="6" t="s">
        <v>21</v>
      </c>
    </row>
    <row r="20" spans="1:2" x14ac:dyDescent="0.25">
      <c r="A20" t="s">
        <v>22</v>
      </c>
      <c r="B20" s="9">
        <f>B17+B19*B18</f>
        <v>0.091495069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91151523840</v>
      </c>
    </row>
    <row r="23" spans="1:2" x14ac:dyDescent="0.25">
      <c r="A23" t="s">
        <v>26</v>
      </c>
      <c r="B23" s="10">
        <v>8421000000</v>
      </c>
    </row>
    <row r="24" spans="1:2" x14ac:dyDescent="0.25">
      <c r="A24" t="s">
        <v>27</v>
      </c>
      <c r="B24" s="9">
        <f>B22/(B22+B23)</f>
        <v>0.9154284769006011</v>
      </c>
    </row>
    <row r="25" spans="1:2" x14ac:dyDescent="0.25">
      <c r="A25" t="s">
        <v>28</v>
      </c>
      <c r="B25" s="9">
        <f>1-B24</f>
        <v>0.08457152309939886</v>
      </c>
    </row>
    <row r="26" spans="1:2" x14ac:dyDescent="0.25">
      <c r="A26" t="s">
        <v>29</v>
      </c>
      <c r="B26" s="11">
        <f>B24*B20+B25*B21*(1-B8)</f>
        <v>0.08733440594652261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21448000000</v>
      </c>
      <c r="C29" s="6" t="s">
        <v>32</v>
      </c>
    </row>
    <row r="30" spans="1:2" x14ac:dyDescent="0.25">
      <c r="A30" t="s">
        <v>33</v>
      </c>
      <c r="B30" s="10">
        <v>1221000000</v>
      </c>
    </row>
    <row r="31" spans="1:2" x14ac:dyDescent="0.25">
      <c r="A31" t="s">
        <v>34</v>
      </c>
      <c r="B31" s="12">
        <v>277000000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0.09153946381947042</v>
      </c>
      <c r="C5" s="5">
        <v>0.09069025922013041</v>
      </c>
      <c r="D5" s="5">
        <v>0.08247897681761411</v>
      </c>
      <c r="E5" s="5">
        <v>0.07426769441509781</v>
      </c>
      <c r="F5" s="5">
        <v>0.0660564120125815</v>
      </c>
      <c r="G5" s="5">
        <v>0.0578451296100652</v>
      </c>
      <c r="H5" s="5">
        <v>0.0496338472075489</v>
      </c>
      <c r="I5" s="5">
        <v>0.0414225648050326</v>
      </c>
      <c r="J5" s="5">
        <v>0.03321128240251629</v>
      </c>
      <c r="K5" s="5">
        <v>0.024999999999999994</v>
      </c>
    </row>
    <row r="6" spans="1:11" x14ac:dyDescent="0.25">
      <c r="A6" t="s">
        <v>50</v>
      </c>
      <c r="B6" s="18">
        <f>Assumptions!B29*(1+B5)</f>
        <v>23411338420</v>
      </c>
      <c r="C6" s="18">
        <f>B6*(1+C5)</f>
        <v>25534518770</v>
      </c>
      <c r="D6" s="18">
        <f>C6*(1+D5)</f>
        <v>27640579751.679764</v>
      </c>
      <c r="E6" s="18">
        <f>D6*(1+E5)</f>
        <v>29693381882.133656</v>
      </c>
      <c r="F6" s="18">
        <f>E6*(1+F5)</f>
        <v>31654820149.7868</v>
      </c>
      <c r="G6" s="18">
        <f>F6*(1+G5)</f>
        <v>33485897324.134525</v>
      </c>
      <c r="H6" s="18">
        <f>G6*(1+H5)</f>
        <v>35147931235.52829</v>
      </c>
      <c r="I6" s="18">
        <f>H6*(1+I5)</f>
        <v>36603848694.89479</v>
      </c>
      <c r="J6" s="18">
        <f>I6*(1+J5)</f>
        <v>37819509450.91992</v>
      </c>
      <c r="K6" s="18">
        <f>J6*(1+K5)</f>
        <v>38764997187.19292</v>
      </c>
    </row>
    <row r="7" spans="1:11" x14ac:dyDescent="0.25">
      <c r="A7" t="s">
        <v>4</v>
      </c>
      <c r="B7" s="9">
        <f>Assumptions!B7</f>
        <v>0.2513587394481297</v>
      </c>
      <c r="C7" s="9">
        <f>Assumptions!B7</f>
        <v>0.2513587394481297</v>
      </c>
      <c r="D7" s="9">
        <f>Assumptions!B7</f>
        <v>0.2513587394481297</v>
      </c>
      <c r="E7" s="9">
        <f>Assumptions!B7</f>
        <v>0.2513587394481297</v>
      </c>
      <c r="F7" s="9">
        <f>Assumptions!B7</f>
        <v>0.2513587394481297</v>
      </c>
      <c r="G7" s="9">
        <f>Assumptions!B7</f>
        <v>0.2513587394481297</v>
      </c>
      <c r="H7" s="9">
        <f>Assumptions!B7</f>
        <v>0.2513587394481297</v>
      </c>
      <c r="I7" s="9">
        <f>Assumptions!B7</f>
        <v>0.2513587394481297</v>
      </c>
      <c r="J7" s="9">
        <f>Assumptions!B7</f>
        <v>0.2513587394481297</v>
      </c>
      <c r="K7" s="9">
        <f>Assumptions!B7</f>
        <v>0.2513587394481297</v>
      </c>
    </row>
    <row r="8" spans="1:11" x14ac:dyDescent="0.25">
      <c r="A8" t="s">
        <v>51</v>
      </c>
      <c r="B8" s="18">
        <f>B6*B7</f>
        <v>5884644514.044768</v>
      </c>
      <c r="C8" s="18">
        <f>C6*C7</f>
        <v>6418324450.441807</v>
      </c>
      <c r="D8" s="18">
        <f>D6*D7</f>
        <v>6947701283.997724</v>
      </c>
      <c r="E8" s="18">
        <f>E6*E7</f>
        <v>7463691039.845049</v>
      </c>
      <c r="F8" s="18">
        <f>F6*F7</f>
        <v>7956715690.307666</v>
      </c>
      <c r="G8" s="18">
        <f>G6*G7</f>
        <v>8416972940.683953</v>
      </c>
      <c r="H8" s="18">
        <f>H6*H7</f>
        <v>8834739689.571936</v>
      </c>
      <c r="I8" s="18">
        <f>I6*I7</f>
        <v>9200697266.898823</v>
      </c>
      <c r="J8" s="18">
        <f>J6*J7</f>
        <v>9506264222.12986</v>
      </c>
      <c r="K8" s="18">
        <f>K6*K7</f>
        <v>9743920827.683105</v>
      </c>
    </row>
    <row r="9" spans="1:11" x14ac:dyDescent="0.25">
      <c r="A9" t="s">
        <v>52</v>
      </c>
      <c r="B9" s="18">
        <f>B8*(1-Assumptions!B8)</f>
        <v>4701723660.368389</v>
      </c>
      <c r="C9" s="18">
        <f>C8*(1-Assumptions!B8)</f>
        <v>5128124197.908619</v>
      </c>
      <c r="D9" s="18">
        <f>D8*(1-Assumptions!B8)</f>
        <v>5551086634.74577</v>
      </c>
      <c r="E9" s="18">
        <f>E8*(1-Assumptions!B8)</f>
        <v>5963353040.606803</v>
      </c>
      <c r="F9" s="18">
        <f>F8*(1-Assumptions!B8)</f>
        <v>6357270746.033607</v>
      </c>
      <c r="G9" s="18">
        <f>G8*(1-Assumptions!B8)</f>
        <v>6725007896.304197</v>
      </c>
      <c r="H9" s="18">
        <f>H8*(1-Assumptions!B8)</f>
        <v>7058795910.69892</v>
      </c>
      <c r="I9" s="18">
        <f>I8*(1-Assumptions!B8)</f>
        <v>7351189341.755345</v>
      </c>
      <c r="J9" s="18">
        <f>J8*(1-Assumptions!B8)</f>
        <v>7595331766.97875</v>
      </c>
      <c r="K9" s="18">
        <f>K8*(1-Assumptions!B8)</f>
        <v>7785215061.153218</v>
      </c>
    </row>
    <row r="10" spans="1:11" x14ac:dyDescent="0.25">
      <c r="A10" t="s">
        <v>53</v>
      </c>
      <c r="B10" s="18">
        <f>B6*Assumptions!B9</f>
        <v>1094197305.5193574</v>
      </c>
      <c r="C10" s="18">
        <f>C6*Assumptions!B9</f>
        <v>1193430342.7948763</v>
      </c>
      <c r="D10" s="18">
        <f>D6*Assumptions!B9</f>
        <v>1291863256.3716922</v>
      </c>
      <c r="E10" s="18">
        <f>E6*Assumptions!B9</f>
        <v>1387806961.9219983</v>
      </c>
      <c r="F10" s="18">
        <f>F6*Assumptions!B9</f>
        <v>1479480510.3926468</v>
      </c>
      <c r="G10" s="18">
        <f>G6*Assumptions!B9</f>
        <v>1565061252.2718751</v>
      </c>
      <c r="H10" s="18">
        <f>H6*Assumptions!B9</f>
        <v>1642741263.3375924</v>
      </c>
      <c r="I10" s="18">
        <f>I6*Assumptions!B9</f>
        <v>1710787819.7760952</v>
      </c>
      <c r="J10" s="18">
        <f>J6*Assumptions!B9</f>
        <v>1767605277.1894643</v>
      </c>
      <c r="K10" s="18">
        <f>K6*Assumptions!B9</f>
        <v>1811795409.1192007</v>
      </c>
    </row>
    <row r="11" spans="1:11" x14ac:dyDescent="0.25">
      <c r="A11" t="s">
        <v>54</v>
      </c>
      <c r="B11" s="18">
        <f>-B6*B19</f>
        <v>-294609433.06364954</v>
      </c>
      <c r="C11" s="18">
        <f>-C6*C19</f>
        <v>-430106374.09832966</v>
      </c>
      <c r="D11" s="18">
        <f>-D6*D19</f>
        <v>-583331801.7154154</v>
      </c>
      <c r="E11" s="18">
        <f>-E6*E19</f>
        <v>-753150276.2226379</v>
      </c>
      <c r="F11" s="18">
        <f>-F6*F19</f>
        <v>-937752304.1617535</v>
      </c>
      <c r="G11" s="18">
        <f>-G6*G19</f>
        <v>-1134648840.3334186</v>
      </c>
      <c r="H11" s="18">
        <f>-H6*H19</f>
        <v>-1340698334.2571068</v>
      </c>
      <c r="I11" s="18">
        <f>-I6*I19</f>
        <v>-1552168309.1044314</v>
      </c>
      <c r="J11" s="18">
        <f>-J6*J19</f>
        <v>-1764831415.4184592</v>
      </c>
      <c r="K11" s="18">
        <f>-K6*K19</f>
        <v>-1974093647.2246475</v>
      </c>
    </row>
    <row r="12" spans="1:11" x14ac:dyDescent="0.25">
      <c r="A12" t="s">
        <v>55</v>
      </c>
      <c r="B12" s="18">
        <f>-(B6-Assumptions!B29)*Assumptions!B11</f>
        <v>29572260.271178085</v>
      </c>
      <c r="C12" s="18">
        <f>-(C6-B6)*Assumptions!B11</f>
        <v>31979836.625848223</v>
      </c>
      <c r="D12" s="18">
        <f>-(D6-C6)*Assumptions!B11</f>
        <v>31721980.715482965</v>
      </c>
      <c r="E12" s="18">
        <f>-(E6-D6)*Assumptions!B11</f>
        <v>30919783.501721192</v>
      </c>
      <c r="F12" s="18">
        <f>-(F6-E6)*Assumptions!B11</f>
        <v>29543639.734247886</v>
      </c>
      <c r="G12" s="18">
        <f>-(G6-F6)*Assumptions!B11</f>
        <v>27580110.60386841</v>
      </c>
      <c r="H12" s="18">
        <f>-(H6-G6)*Assumptions!B11</f>
        <v>25033941.630531806</v>
      </c>
      <c r="I12" s="18">
        <f>-(I6-H6)*Assumptions!B11</f>
        <v>21929367.654170647</v>
      </c>
      <c r="J12" s="18">
        <f>-(J6-I6)*Assumptions!B11</f>
        <v>18310565.265988275</v>
      </c>
      <c r="K12" s="18">
        <f>-(K6-J6)*Assumptions!B11</f>
        <v>14241156.356667228</v>
      </c>
    </row>
    <row r="13" spans="1:11" x14ac:dyDescent="0.25">
      <c r="A13" s="19" t="s">
        <v>56</v>
      </c>
      <c r="B13" s="20">
        <f>B9+B10+B11+B12</f>
        <v>5530883793.095276</v>
      </c>
      <c r="C13" s="20">
        <f>C9+C10+C11+C12</f>
        <v>5923428003.231013</v>
      </c>
      <c r="D13" s="20">
        <f>D9+D10+D11+D12</f>
        <v>6291340070.11753</v>
      </c>
      <c r="E13" s="20">
        <f>E9+E10+E11+E12</f>
        <v>6628929509.807884</v>
      </c>
      <c r="F13" s="20">
        <f>F9+F10+F11+F12</f>
        <v>6928542591.998748</v>
      </c>
      <c r="G13" s="20">
        <f>G9+G10+G11+G12</f>
        <v>7183000418.846522</v>
      </c>
      <c r="H13" s="20">
        <f>H9+H10+H11+H12</f>
        <v>7385872781.409938</v>
      </c>
      <c r="I13" s="20">
        <f>I9+I10+I11+I12</f>
        <v>7531738220.081181</v>
      </c>
      <c r="J13" s="20">
        <f>J9+J10+J11+J12</f>
        <v>7616416194.015744</v>
      </c>
      <c r="K13" s="20">
        <f>K9+K10+K11+K12</f>
        <v>7637157979.404439</v>
      </c>
    </row>
    <row r="14" spans="1:11" x14ac:dyDescent="0.25">
      <c r="A14" t="s">
        <v>57</v>
      </c>
      <c r="B14" s="21">
        <f>1/(1+Assumptions!$B$26)^(1-0.5*Assumptions!$B$32)</f>
        <v>0.9589996193753784</v>
      </c>
      <c r="C14" s="21">
        <f>1/(1+Assumptions!$B$26)^(2-0.5*Assumptions!$B$32)</f>
        <v>0.8819730288407189</v>
      </c>
      <c r="D14" s="21">
        <f>1/(1+Assumptions!$B$26)^(3-0.5*Assumptions!$B$32)</f>
        <v>0.8111331932635416</v>
      </c>
      <c r="E14" s="21">
        <f>1/(1+Assumptions!$B$26)^(4-0.5*Assumptions!$B$32)</f>
        <v>0.7459831941558508</v>
      </c>
      <c r="F14" s="21">
        <f>1/(1+Assumptions!$B$26)^(5-0.5*Assumptions!$B$32)</f>
        <v>0.686066025388458</v>
      </c>
      <c r="G14" s="21">
        <f>1/(1+Assumptions!$B$26)^(6-0.5*Assumptions!$B$32)</f>
        <v>0.6309613874410962</v>
      </c>
      <c r="H14" s="21">
        <f>1/(1+Assumptions!$B$26)^(7-0.5*Assumptions!$B$32)</f>
        <v>0.5802827391375015</v>
      </c>
      <c r="I14" s="21">
        <f>1/(1+Assumptions!$B$26)^(8-0.5*Assumptions!$B$32)</f>
        <v>0.5336745861843362</v>
      </c>
      <c r="J14" s="21">
        <f>1/(1+Assumptions!$B$26)^(9-0.5*Assumptions!$B$32)</f>
        <v>0.49080998749393323</v>
      </c>
      <c r="K14" s="21">
        <f>1/(1+Assumptions!$B$26)^(10-0.5*Assumptions!$B$32)</f>
        <v>0.4513882617985256</v>
      </c>
    </row>
    <row r="15" spans="1:11" x14ac:dyDescent="0.25">
      <c r="A15" s="19" t="s">
        <v>58</v>
      </c>
      <c r="B15" s="20">
        <f>B13*B14</f>
        <v>5304115452.387818</v>
      </c>
      <c r="C15" s="20">
        <f>C13*C14</f>
        <v>5224303737.129589</v>
      </c>
      <c r="D15" s="20">
        <f>D13*D14</f>
        <v>5103114760.981306</v>
      </c>
      <c r="E15" s="20">
        <f>E13*E14</f>
        <v>4945070009.560464</v>
      </c>
      <c r="F15" s="20">
        <f>F13*F14</f>
        <v>4753437677.827226</v>
      </c>
      <c r="G15" s="20">
        <f>G13*G14</f>
        <v>4532195910.265377</v>
      </c>
      <c r="H15" s="20">
        <f>H13*H14</f>
        <v>4285894488.5176754</v>
      </c>
      <c r="I15" s="20">
        <f>I13*I14</f>
        <v>4019497277.8505726</v>
      </c>
      <c r="J15" s="20">
        <f>J13*J14</f>
        <v>3738213136.933458</v>
      </c>
      <c r="K15" s="20">
        <f>K13*K14</f>
        <v>3447323465.4041095</v>
      </c>
    </row>
    <row r="17" spans="1:2" x14ac:dyDescent="0.25">
      <c r="A17" s="22" t="s">
        <v>59</v>
      </c>
      <c r="B17" s="23">
        <f>SUM(B15:K15)</f>
        <v>45353165916.85759</v>
      </c>
    </row>
    <row r="19" spans="1:11" x14ac:dyDescent="0.25">
      <c r="A19" t="s">
        <v>7</v>
      </c>
      <c r="B19" s="9">
        <f>Assumptions!$B$10+($B$20-Assumptions!$B$10)*0/9</f>
        <v>0.012584049138000951</v>
      </c>
      <c r="C19" s="9">
        <f>Assumptions!$B$10+($B$20-Assumptions!$B$10)*1/9</f>
        <v>0.016844115135768806</v>
      </c>
      <c r="D19" s="9">
        <f>Assumptions!$B$10+($B$20-Assumptions!$B$10)*2/9</f>
        <v>0.021104181133536657</v>
      </c>
      <c r="E19" s="9">
        <f>Assumptions!$B$10+($B$20-Assumptions!$B$10)*3/9</f>
        <v>0.02536424713130451</v>
      </c>
      <c r="F19" s="9">
        <f>Assumptions!$B$10+($B$20-Assumptions!$B$10)*4/9</f>
        <v>0.029624313129072363</v>
      </c>
      <c r="G19" s="9">
        <f>Assumptions!$B$10+($B$20-Assumptions!$B$10)*5/9</f>
        <v>0.03388437912684022</v>
      </c>
      <c r="H19" s="9">
        <f>Assumptions!$B$10+($B$20-Assumptions!$B$10)*6/9</f>
        <v>0.03814444512460807</v>
      </c>
      <c r="I19" s="9">
        <f>Assumptions!$B$10+($B$20-Assumptions!$B$10)*7/9</f>
        <v>0.04240451112237592</v>
      </c>
      <c r="J19" s="9">
        <f>Assumptions!$B$10+($B$20-Assumptions!$B$10)*8/9</f>
        <v>0.046664577120143776</v>
      </c>
      <c r="K19" s="9">
        <f>Assumptions!$B$10+($B$20-Assumptions!$B$10)*9/9</f>
        <v>0.05092464311791163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0.05092464311791163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7637157979.404439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8932744103.07586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0.17895257699923967</v>
      </c>
    </row>
    <row r="7" spans="1:2" x14ac:dyDescent="0.25">
      <c r="A7" t="s">
        <v>66</v>
      </c>
      <c r="B7" s="18">
        <f>-MAX(B5,0)*B6</f>
        <v>-1598537576.9201868</v>
      </c>
    </row>
    <row r="8" spans="1:2" x14ac:dyDescent="0.25">
      <c r="A8" t="s">
        <v>67</v>
      </c>
      <c r="B8" s="18">
        <f>IF(OR(Assumptions!$B$33=0,Assumptions!B12&lt;=0),B5,MAX(B5+B7,0))</f>
        <v>7334206526.155672</v>
      </c>
    </row>
    <row r="9" spans="1:2" x14ac:dyDescent="0.25">
      <c r="A9" t="s">
        <v>68</v>
      </c>
      <c r="B9" s="18">
        <f>B8*(1+Assumptions!B12)/(Assumptions!B26-Assumptions!B12)</f>
        <v>120600518688.81151</v>
      </c>
    </row>
    <row r="10" spans="1:2" x14ac:dyDescent="0.25">
      <c r="A10" t="s">
        <v>69</v>
      </c>
      <c r="B10" s="18">
        <f>B9/(1+Assumptions!B26)^(10-0.5*Assumptions!B32)</f>
        <v>54437658502.94323</v>
      </c>
    </row>
    <row r="11" spans="1:2" x14ac:dyDescent="0.25">
      <c r="A11" t="s">
        <v>70</v>
      </c>
      <c r="B11" s="18">
        <f>Forecast!B17+B10</f>
        <v>99790824419.80081</v>
      </c>
    </row>
    <row r="12" spans="1:2" x14ac:dyDescent="0.25">
      <c r="A12" t="s">
        <v>71</v>
      </c>
      <c r="B12" s="18">
        <f>-Assumptions!B30</f>
        <v>-1221000000</v>
      </c>
    </row>
    <row r="13" spans="1:2" x14ac:dyDescent="0.25">
      <c r="A13" t="s">
        <v>72</v>
      </c>
      <c r="B13" s="18">
        <f>B11+B12</f>
        <v>98569824419.80081</v>
      </c>
    </row>
    <row r="14" spans="1:2" x14ac:dyDescent="0.25">
      <c r="A14" s="19" t="s">
        <v>73</v>
      </c>
      <c r="B14" s="24">
        <f>B13/Assumptions!B31</f>
        <v>355.84774158772854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11555716236.802307</v>
      </c>
    </row>
    <row r="18" spans="1:2" x14ac:dyDescent="0.25">
      <c r="A18" t="s">
        <v>68</v>
      </c>
      <c r="B18" s="18">
        <f>B17*Assumptions!B13</f>
        <v>151990698216.18912</v>
      </c>
    </row>
    <row r="19" spans="1:2" x14ac:dyDescent="0.25">
      <c r="A19" t="s">
        <v>69</v>
      </c>
      <c r="B19" s="18">
        <f>B18/(1+Assumptions!B26)^(10-0.5*Assumptions!B32)</f>
        <v>68606817077.34987</v>
      </c>
    </row>
    <row r="20" spans="1:2" x14ac:dyDescent="0.25">
      <c r="A20" t="s">
        <v>70</v>
      </c>
      <c r="B20" s="18">
        <f>Forecast!B17+B19</f>
        <v>113959982994.20746</v>
      </c>
    </row>
    <row r="21" spans="1:2" x14ac:dyDescent="0.25">
      <c r="A21" t="s">
        <v>71</v>
      </c>
      <c r="B21" s="18">
        <f>-Assumptions!B30</f>
        <v>-1221000000</v>
      </c>
    </row>
    <row r="22" spans="1:2" x14ac:dyDescent="0.25">
      <c r="A22" t="s">
        <v>72</v>
      </c>
      <c r="B22" s="18">
        <f>B20+B21</f>
        <v>112738982994.20746</v>
      </c>
    </row>
    <row r="23" spans="1:2" x14ac:dyDescent="0.25">
      <c r="A23" s="19" t="s">
        <v>73</v>
      </c>
      <c r="B23" s="25">
        <f>B22/Assumptions!B31</f>
        <v>406.99993860724715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341.09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355.84774158772854</v>
      </c>
    </row>
    <row r="29" spans="1:2" x14ac:dyDescent="0.25">
      <c r="A29" s="19" t="s">
        <v>81</v>
      </c>
      <c r="B29" s="11">
        <f>B28/B26-1</f>
        <v>0.04326641527962871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0.067334</v>
      </c>
      <c r="B5" s="31">
        <v>481.51049193279454</v>
      </c>
      <c r="C5" s="31">
        <v>498.17046035358237</v>
      </c>
      <c r="D5" s="31">
        <v>519.4078320487185</v>
      </c>
      <c r="E5" s="31">
        <v>547.0617094212466</v>
      </c>
      <c r="F5" s="31">
        <v>584.1087605345325</v>
      </c>
    </row>
    <row r="6" spans="1:6" x14ac:dyDescent="0.25">
      <c r="A6" s="30">
        <v>0.077334</v>
      </c>
      <c r="B6" s="31">
        <v>403.7766025144639</v>
      </c>
      <c r="C6" s="31">
        <v>411.90224627375994</v>
      </c>
      <c r="D6" s="31">
        <v>422.0712003704379</v>
      </c>
      <c r="E6" s="31">
        <v>434.9309836083329</v>
      </c>
      <c r="F6" s="31">
        <v>451.4350243693189</v>
      </c>
    </row>
    <row r="7" spans="1:6" x14ac:dyDescent="0.25">
      <c r="A7" s="30">
        <v>0.087334</v>
      </c>
      <c r="B7" s="31">
        <v>347.54727227958466</v>
      </c>
      <c r="C7" s="31">
        <v>351.2100736693958</v>
      </c>
      <c r="D7" s="32">
        <v>355.85000071337186</v>
      </c>
      <c r="E7" s="31">
        <v>361.7226937787028</v>
      </c>
      <c r="F7" s="31">
        <v>369.18148894366146</v>
      </c>
    </row>
    <row r="8" spans="1:6" x14ac:dyDescent="0.25">
      <c r="A8" s="30">
        <v>0.097334</v>
      </c>
      <c r="B8" s="31">
        <v>304.9884598389365</v>
      </c>
      <c r="C8" s="31">
        <v>306.17791450169744</v>
      </c>
      <c r="D8" s="31">
        <v>307.8494688856821</v>
      </c>
      <c r="E8" s="31">
        <v>310.1105203802977</v>
      </c>
      <c r="F8" s="31">
        <v>313.1029250618345</v>
      </c>
    </row>
    <row r="9" spans="1:6" x14ac:dyDescent="0.25">
      <c r="A9" s="30">
        <v>0.107334</v>
      </c>
      <c r="B9" s="31">
        <v>271.65961619144815</v>
      </c>
      <c r="C9" s="31">
        <v>271.4307852683923</v>
      </c>
      <c r="D9" s="31">
        <v>271.43848850038273</v>
      </c>
      <c r="E9" s="31">
        <v>271.728604961639</v>
      </c>
      <c r="F9" s="31">
        <v>272.35969906777456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21448000000</v>
      </c>
      <c r="C5" s="18">
        <v>18831000000</v>
      </c>
      <c r="D5" s="18">
        <v>16285000000</v>
      </c>
      <c r="E5" s="18">
        <v>14368000000</v>
      </c>
      <c r="F5" s="6" t="s">
        <v>91</v>
      </c>
    </row>
    <row r="6" spans="1:6" x14ac:dyDescent="0.25">
      <c r="A6" t="s">
        <v>51</v>
      </c>
      <c r="B6" s="18">
        <v>6177000000</v>
      </c>
      <c r="C6" s="18">
        <v>4938000000</v>
      </c>
      <c r="D6" s="18">
        <v>3853000000</v>
      </c>
      <c r="E6" s="18">
        <v>3141000000</v>
      </c>
      <c r="F6" s="6" t="s">
        <v>92</v>
      </c>
    </row>
    <row r="7" spans="1:6" x14ac:dyDescent="0.25">
      <c r="A7" t="s">
        <v>93</v>
      </c>
      <c r="B7" s="18">
        <v>846000000</v>
      </c>
      <c r="C7" s="18">
        <v>809000000</v>
      </c>
      <c r="D7" s="18">
        <v>789000000</v>
      </c>
      <c r="E7" s="18">
        <v>806000000</v>
      </c>
      <c r="F7" s="6" t="s">
        <v>94</v>
      </c>
    </row>
    <row r="8" spans="1:6" x14ac:dyDescent="0.25">
      <c r="A8" t="s">
        <v>95</v>
      </c>
      <c r="B8" s="18">
        <v>221000000</v>
      </c>
      <c r="C8" s="18">
        <v>124000000</v>
      </c>
      <c r="D8" s="18">
        <v>250000000</v>
      </c>
      <c r="E8" s="18">
        <v>260000000</v>
      </c>
      <c r="F8" s="6" t="s">
        <v>96</v>
      </c>
    </row>
    <row r="9" spans="1:6" x14ac:dyDescent="0.25">
      <c r="A9" t="s">
        <v>97</v>
      </c>
      <c r="B9" s="18">
        <v>4000000</v>
      </c>
      <c r="C9" s="18">
        <v>206000000</v>
      </c>
      <c r="D9" s="18">
        <v>429000000</v>
      </c>
      <c r="E9" s="18">
        <v>-601000000</v>
      </c>
      <c r="F9" s="6" t="s">
        <v>98</v>
      </c>
    </row>
    <row r="10" spans="1:6" x14ac:dyDescent="0.25">
      <c r="A10" t="s">
        <v>99</v>
      </c>
      <c r="B10" s="18">
        <v>8421000000</v>
      </c>
      <c r="C10" s="18">
        <v>6639000000</v>
      </c>
      <c r="D10" s="18">
        <v>6567000000</v>
      </c>
      <c r="E10" s="18">
        <v>6689000000</v>
      </c>
      <c r="F10" s="6" t="s">
        <v>100</v>
      </c>
    </row>
    <row r="11" spans="1:6" x14ac:dyDescent="0.25">
      <c r="A11" t="s">
        <v>101</v>
      </c>
      <c r="B11" s="18">
        <v>7200000000</v>
      </c>
      <c r="C11" s="18">
        <v>4552000000</v>
      </c>
      <c r="D11" s="18">
        <v>4074000000</v>
      </c>
      <c r="E11" s="18">
        <v>3662000000</v>
      </c>
      <c r="F11" s="6" t="s">
        <v>102</v>
      </c>
    </row>
    <row r="12" spans="1:6" x14ac:dyDescent="0.25">
      <c r="A12" t="s">
        <v>34</v>
      </c>
      <c r="B12" s="34">
        <v>277000000</v>
      </c>
      <c r="C12" s="34">
        <v>283000000</v>
      </c>
      <c r="D12" s="34">
        <v>284000000</v>
      </c>
      <c r="E12" s="34">
        <v>283000000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