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<sst xmlns="http://schemas.openxmlformats.org/spreadsheetml/2006/main" count="122" uniqueCount="105">
  <si>
    <t>Investor AB (publ) (INVE-B.ST)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</si>
  <si>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</si>
  <si>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</si>
  <si>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</si>
  <si>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</si>
  <si>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</si>
  <si>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</si>
  <si>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</si>
  <si>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</si>
  <si>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</si>
  <si>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</si>
  <si>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</si>
  <si>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</si>
  <si>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</si>
  <si>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</si>
  <si>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</si>
  <si>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</si>
  <si>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</si>
  <si>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</si>
  <si>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</si>
  <si>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</si>
  <si>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</si>
  <si>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</si>
  <si>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</si>
  <si>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</si>
  <si>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</si>
  <si>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</si>
  <si>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</si>
  <si>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</si>
  <si>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</si>
  <si>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</si>
  <si>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</si>
  <si>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</si>
  <si>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</si>
  <si>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</si>
  <si>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</si>
  <si>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</si>
  <si>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</si>
  <si>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</si>
  <si>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</si>
  <si>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</si>
  <si>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</si>
  <si>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</si>
  <si>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</si>
  <si>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</si>
  <si>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</si>
  <si>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</si>
  <si>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</si>
  <si>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</si>
  <si>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</si>
  <si>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</si>
  <si>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</si>
  <si>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</si>
  <si>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</si>
  <si>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</si>
  <si>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</si>
  <si>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</si>
  <si>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</si>
  <si>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</si>
  <si>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</si>
  <si>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</si>
  <si>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</si>
  <si>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</si>
  <si>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</si>
  <si>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</si>
  <si>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</si>
  <si>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</si>
  <si>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</si>
  <si>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</si>
  <si>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</si>
  <si>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</si>
  <si>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</si>
  <si>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</si>
  <si>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</si>
  <si>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</si>
  <si>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</si>
  <si>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</si>
  <si>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</si>
  <si>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</si>
  <si>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</si>
  <si>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</si>
  <si>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</si>
  <si>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</si>
  <si>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</si>
  <si>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</si>
  <si>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</si>
  <si>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</si>
  <si>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</si>
  <si>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</si>
  <si>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</si>
  <si>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</si>
  <si>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</si>
  <si>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</si>
  <si>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</si>
  <si>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</si>
  <si>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</si>
  <si>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</si>
  <si>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</si>
  <si>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</si>
  <si>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Only 3 year(s) of history available to anchor assumptions on.</t>
  </si>
  <si>
    <t>Adjusted: Consensus rests on as few as 1 analyst estimate(s).</t>
  </si>
  <si>
    <t>Adjusted: Capital expenditure runs at 2.0%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</si>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</sst>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0.09543499920963838</v>
      </c>
    </row>
    <row r="7" spans="1:2" x14ac:dyDescent="0.25">
      <c r="A7" t="s">
        <v>5</v>
      </c>
      <c r="B7" s="6">
        <v>0.7054195252883426</v>
      </c>
    </row>
    <row r="8" spans="1:2" x14ac:dyDescent="0.25">
      <c r="A8" t="s">
        <v>6</v>
      </c>
      <c r="B8" s="6">
        <v>0.0069865633303249665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0.02048456276292138</v>
      </c>
    </row>
    <row r="11" spans="1:2" x14ac:dyDescent="0.25">
      <c r="A11" t="s">
        <v>9</v>
      </c>
      <c r="B11" s="6">
        <v>0.03126379127327914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0.14764088002747505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0.8526</v>
      </c>
      <c r="C19" s="8" t="s">
        <v>19</v>
      </c>
    </row>
    <row r="20" spans="1:2" x14ac:dyDescent="0.25">
      <c r="A20" t="s">
        <v>20</v>
      </c>
      <c r="B20" s="10">
        <f>B17+B19*B18</f>
        <v>0.097419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115312000000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0.04170656434012635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216578000000</v>
      </c>
      <c r="C29" s="8" t="s">
        <v>30</v>
      </c>
    </row>
    <row r="30" spans="1:2" x14ac:dyDescent="0.25">
      <c r="A30" t="s">
        <v>31</v>
      </c>
      <c r="B30" s="11">
        <v>101254000000</v>
      </c>
    </row>
    <row r="31" spans="1:2" x14ac:dyDescent="0.25">
      <c r="A31" t="s">
        <v>32</v>
      </c>
      <c r="B31" s="13">
        <v>3063100000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0.09543499920963838</v>
      </c>
      <c r="C5" s="10">
        <f>Assumptions!B6</f>
        <v>0.09543499920963838</v>
      </c>
      <c r="D5" s="10">
        <f>Assumptions!B6</f>
        <v>0.09543499920963838</v>
      </c>
      <c r="E5" s="10">
        <f>Assumptions!B6</f>
        <v>0.09543499920963838</v>
      </c>
      <c r="F5" s="10">
        <f>Assumptions!B6</f>
        <v>0.09543499920963838</v>
      </c>
    </row>
    <row r="6" spans="1:6" x14ac:dyDescent="0.25">
      <c r="A6" t="s">
        <v>43</v>
      </c>
      <c r="B6" s="18">
        <f>Assumptions!B29*(1+B5)</f>
        <v>237247121258.82507</v>
      </c>
      <c r="C6" s="18">
        <f>B6*(1+C5)</f>
        <v>259888800088.65002</v>
      </c>
      <c r="D6" s="18">
        <f>C6*(1+D5)</f>
        <v>284691287519.7042</v>
      </c>
      <c r="E6" s="18">
        <f>D6*(1+E5)</f>
        <v>311860800319.1381</v>
      </c>
      <c r="F6" s="18">
        <f>E6*(1+F5)</f>
        <v>341623235551.11224</v>
      </c>
    </row>
    <row r="7" spans="1:6" x14ac:dyDescent="0.25">
      <c r="A7" t="s">
        <v>5</v>
      </c>
      <c r="B7" s="10">
        <f>Assumptions!B7</f>
        <v>0.7054195252883426</v>
      </c>
      <c r="C7" s="10">
        <f>Assumptions!B7</f>
        <v>0.7054195252883426</v>
      </c>
      <c r="D7" s="10">
        <f>Assumptions!B7</f>
        <v>0.7054195252883426</v>
      </c>
      <c r="E7" s="10">
        <f>Assumptions!B7</f>
        <v>0.7054195252883426</v>
      </c>
      <c r="F7" s="10">
        <f>Assumptions!B7</f>
        <v>0.7054195252883426</v>
      </c>
    </row>
    <row r="8" spans="1:6" x14ac:dyDescent="0.25">
      <c r="A8" t="s">
        <v>44</v>
      </c>
      <c r="B8" s="18">
        <f>B6*B7</f>
        <v>167358751654.42624</v>
      </c>
      <c r="C8" s="18">
        <f>C6*C7</f>
        <v>183330633986.29248</v>
      </c>
      <c r="D8" s="18">
        <f>D6*D7</f>
        <v>200826792895.8768</v>
      </c>
      <c r="E8" s="18">
        <f>E6*E7</f>
        <v>219992697717.16904</v>
      </c>
      <c r="F8" s="18">
        <f>F6*F7</f>
        <v>240987700649.93326</v>
      </c>
    </row>
    <row r="9" spans="1:6" x14ac:dyDescent="0.25">
      <c r="A9" t="s">
        <v>45</v>
      </c>
      <c r="B9" s="18">
        <f>B8*(1-Assumptions!B8)</f>
        <v>166189489137.10846</v>
      </c>
      <c r="C9" s="18">
        <f>C8*(1-Assumptions!B8)</f>
        <v>182049782901.55862</v>
      </c>
      <c r="D9" s="18">
        <f>D8*(1-Assumptions!B8)</f>
        <v>199423703788.8837</v>
      </c>
      <c r="E9" s="18">
        <f>E8*(1-Assumptions!B8)</f>
        <v>218455704802.35898</v>
      </c>
      <c r="F9" s="18">
        <f>F8*(1-Assumptions!B8)</f>
        <v>239304024817.5131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-4859903545.748821</v>
      </c>
      <c r="C11" s="18">
        <f>-C6*Assumptions!B10</f>
        <v>-5323708436.796279</v>
      </c>
      <c r="D11" s="18">
        <f>-D6*Assumptions!B10</f>
        <v>-5831776547.254277</v>
      </c>
      <c r="E11" s="18">
        <f>-E6*Assumptions!B10</f>
        <v>-6388332137.432277</v>
      </c>
      <c r="F11" s="18">
        <f>-F6*Assumptions!B10</f>
        <v>-6998002609.919033</v>
      </c>
    </row>
    <row r="12" spans="1:6" x14ac:dyDescent="0.25">
      <c r="A12" t="s">
        <v>48</v>
      </c>
      <c r="B12" s="18">
        <f>-(B6-Assumptions!B29)*Assumptions!B11</f>
        <v>-646195092.8380038</v>
      </c>
      <c r="C12" s="18">
        <f>-(C6-B6)*Assumptions!B11</f>
        <v>-707864721.0122705</v>
      </c>
      <c r="D12" s="18">
        <f>-(D6-C6)*Assumptions!B11</f>
        <v>-775419790.1026078</v>
      </c>
      <c r="E12" s="18">
        <f>-(E6-D6)*Assumptions!B11</f>
        <v>-849421977.1581875</v>
      </c>
      <c r="F12" s="18">
        <f>-(F6-E6)*Assumptions!B11</f>
        <v>-930486562.8769282</v>
      </c>
    </row>
    <row r="13" spans="1:6" x14ac:dyDescent="0.25">
      <c r="A13" s="19" t="s">
        <v>49</v>
      </c>
      <c r="B13" s="20">
        <f>B9+B10+B11+B12</f>
        <v>160683390498.52164</v>
      </c>
      <c r="C13" s="20">
        <f>C9+C10+C11+C12</f>
        <v>176018209743.7501</v>
      </c>
      <c r="D13" s="20">
        <f>D9+D10+D11+D12</f>
        <v>192816507451.52682</v>
      </c>
      <c r="E13" s="20">
        <f>E9+E10+E11+E12</f>
        <v>211217950687.76852</v>
      </c>
      <c r="F13" s="20">
        <f>F9+F10+F11+F12</f>
        <v>231375535644.71713</v>
      </c>
    </row>
    <row r="14" spans="1:6" x14ac:dyDescent="0.25">
      <c r="A14" t="s">
        <v>50</v>
      </c>
      <c r="B14" s="21">
        <f>1/(1+Assumptions!$B$26)^(1-0.5*Assumptions!$B$32)</f>
        <v>0.9797771336954285</v>
      </c>
      <c r="C14" s="21">
        <f>1/(1+Assumptions!$B$26)^(2-0.5*Assumptions!$B$32)</f>
        <v>0.9405500236202051</v>
      </c>
      <c r="D14" s="21">
        <f>1/(1+Assumptions!$B$26)^(3-0.5*Assumptions!$B$32)</f>
        <v>0.9028934402616543</v>
      </c>
      <c r="E14" s="21">
        <f>1/(1+Assumptions!$B$26)^(4-0.5*Assumptions!$B$32)</f>
        <v>0.8667445048055314</v>
      </c>
      <c r="F14" s="21">
        <f>1/(1+Assumptions!$B$26)^(5-0.5*Assumptions!$B$32)</f>
        <v>0.8320428559021077</v>
      </c>
    </row>
    <row r="15" spans="1:6" x14ac:dyDescent="0.25">
      <c r="A15" s="19" t="s">
        <v>51</v>
      </c>
      <c r="B15" s="20">
        <f>B13*B14</f>
        <v>157433911775.10477</v>
      </c>
      <c r="C15" s="20">
        <f>C13*C14</f>
        <v>165553931332.07037</v>
      </c>
      <c r="D15" s="20">
        <f>D13*D14</f>
        <v>174092759752.14597</v>
      </c>
      <c r="E15" s="20">
        <f>E13*E14</f>
        <v>183071998074.9091</v>
      </c>
      <c r="F15" s="20">
        <f>F13*F14</f>
        <v>192514361463.71036</v>
      </c>
    </row>
    <row r="17" spans="1:2" x14ac:dyDescent="0.25">
      <c r="A17" s="22" t="s">
        <v>52</v>
      </c>
      <c r="B17" s="23">
        <f>SUM(B15:F15)</f>
        <v>872666962397.9406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231375535644.71713</v>
      </c>
    </row>
    <row r="5" spans="1:2" x14ac:dyDescent="0.25">
      <c r="A5" t="s">
        <v>56</v>
      </c>
      <c r="B5" s="18">
        <f>IF(Assumptions!$B$33=0,B4,B4-Forecast!F11-Forecast!F10-Forecast!F12)</f>
        <v>239304024817.5131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0.16932979534765477</v>
      </c>
    </row>
    <row r="7" spans="1:2" x14ac:dyDescent="0.25">
      <c r="A7" t="s">
        <v>58</v>
      </c>
      <c r="B7" s="18">
        <f>-MAX(Forecast!F9,0)*B6</f>
        <v>-40521301548.21959</v>
      </c>
    </row>
    <row r="8" spans="1:2" x14ac:dyDescent="0.25">
      <c r="A8" t="s">
        <v>59</v>
      </c>
      <c r="B8" s="18">
        <f>IF(OR(Assumptions!$B$33=0,Assumptions!B12&lt;=0),B5,MAX(B5+B7,0))</f>
        <v>198782723269.29352</v>
      </c>
    </row>
    <row r="9" spans="1:2" x14ac:dyDescent="0.25">
      <c r="A9" t="s">
        <v>60</v>
      </c>
      <c r="B9" s="18">
        <f>B8*(1+Assumptions!B12)/(Assumptions!B26-Assumptions!B12)</f>
        <v>12195942098139.664</v>
      </c>
    </row>
    <row r="10" spans="1:2" x14ac:dyDescent="0.25">
      <c r="A10" t="s">
        <v>61</v>
      </c>
      <c r="B10" s="18">
        <f>B9/(1+Assumptions!B26)^(5-0.5*Assumptions!B32)</f>
        <v>10147546493752.87</v>
      </c>
    </row>
    <row r="11" spans="1:2" x14ac:dyDescent="0.25">
      <c r="A11" t="s">
        <v>62</v>
      </c>
      <c r="B11" s="18">
        <f>Forecast!B17+B10</f>
        <v>11020213456150.81</v>
      </c>
    </row>
    <row r="12" spans="1:2" x14ac:dyDescent="0.25">
      <c r="A12" t="s">
        <v>63</v>
      </c>
      <c r="B12" s="18">
        <f>-Assumptions!B30</f>
        <v>-101254000000</v>
      </c>
    </row>
    <row r="13" spans="1:2" x14ac:dyDescent="0.25">
      <c r="A13" t="s">
        <v>64</v>
      </c>
      <c r="B13" s="18">
        <f>B11+B12</f>
        <v>10918959456150.81</v>
      </c>
    </row>
    <row r="14" spans="1:2" x14ac:dyDescent="0.25">
      <c r="A14" s="19" t="s">
        <v>65</v>
      </c>
      <c r="B14" s="24">
        <f>B13/Assumptions!B31</f>
        <v>3564.676130766482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240987700649.93326</v>
      </c>
    </row>
    <row r="18" spans="1:2" x14ac:dyDescent="0.25">
      <c r="A18" t="s">
        <v>60</v>
      </c>
      <c r="B18" s="18">
        <f>B17*Assumptions!B13</f>
        <v>1927901605199.466</v>
      </c>
    </row>
    <row r="19" spans="1:2" x14ac:dyDescent="0.25">
      <c r="A19" t="s">
        <v>61</v>
      </c>
      <c r="B19" s="18">
        <f>B18/(1+Assumptions!B26)^(5-0.5*Assumptions!B32)</f>
        <v>1604096757488.4214</v>
      </c>
    </row>
    <row r="20" spans="1:2" x14ac:dyDescent="0.25">
      <c r="A20" t="s">
        <v>62</v>
      </c>
      <c r="B20" s="18">
        <f>Forecast!B17+B19</f>
        <v>2476763719886.362</v>
      </c>
    </row>
    <row r="21" spans="1:2" x14ac:dyDescent="0.25">
      <c r="A21" t="s">
        <v>63</v>
      </c>
      <c r="B21" s="18">
        <f>-Assumptions!B30</f>
        <v>-101254000000</v>
      </c>
    </row>
    <row r="22" spans="1:2" x14ac:dyDescent="0.25">
      <c r="A22" t="s">
        <v>64</v>
      </c>
      <c r="B22" s="18">
        <f>B20+B21</f>
        <v>2375509719886.362</v>
      </c>
    </row>
    <row r="23" spans="1:2" x14ac:dyDescent="0.25">
      <c r="A23" s="19" t="s">
        <v>65</v>
      </c>
      <c r="B23" s="25">
        <f>B22/Assumptions!B31</f>
        <v>775.5247036944147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405.75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3564.676130766482</v>
      </c>
    </row>
    <row r="29" spans="1:2" x14ac:dyDescent="0.25">
      <c r="A29" s="19" t="s">
        <v>73</v>
      </c>
      <c r="B29" s="12">
        <f>B28/B26-1</f>
        <v>7.785400199054791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0.021707</v>
      </c>
      <c r="B5" s="31">
        <v>9910.04951830824</v>
      </c>
      <c r="C5" s="31">
        <v>36907.907869641436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0.031707</v>
      </c>
      <c r="B6" s="31">
        <v>3964.4049406496406</v>
      </c>
      <c r="C6" s="31">
        <v>5372.6581691048395</v>
      </c>
      <c r="D6" s="31">
        <v>8877.1603582914</v>
      </c>
      <c r="E6" s="31">
        <v>32898.376892491906</v>
      </c>
      <c r="F6" s="31" t="s">
        <v>76</v>
      </c>
    </row>
    <row r="7" spans="1:6" x14ac:dyDescent="0.25">
      <c r="A7" s="30">
        <v>0.041707</v>
      </c>
      <c r="B7" s="31">
        <v>2471.2905319113097</v>
      </c>
      <c r="C7" s="31">
        <v>2892.5291761008925</v>
      </c>
      <c r="D7" s="32">
        <v>3564.5831992944545</v>
      </c>
      <c r="E7" s="31">
        <v>4808.818509500852</v>
      </c>
      <c r="F7" s="31">
        <v>7904.901023701238</v>
      </c>
    </row>
    <row r="8" spans="1:6" x14ac:dyDescent="0.25">
      <c r="A8" s="30">
        <v>0.051707</v>
      </c>
      <c r="B8" s="31">
        <v>1791.7321848890238</v>
      </c>
      <c r="C8" s="31">
        <v>1976.6461175337038</v>
      </c>
      <c r="D8" s="31">
        <v>2230.0084642223123</v>
      </c>
      <c r="E8" s="31">
        <v>2599.118539031367</v>
      </c>
      <c r="F8" s="31">
        <v>3187.897807323093</v>
      </c>
    </row>
    <row r="9" spans="1:6" x14ac:dyDescent="0.25">
      <c r="A9" s="30">
        <v>0.061707</v>
      </c>
      <c r="B9" s="31">
        <v>1403.1826952872766</v>
      </c>
      <c r="C9" s="31">
        <v>1499.8510693364246</v>
      </c>
      <c r="D9" s="31">
        <v>1622.3040451527816</v>
      </c>
      <c r="E9" s="31">
        <v>1782.7398447853639</v>
      </c>
      <c r="F9" s="31">
        <v>2002.4915403592083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5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33" t="s">
        <v>83</v>
      </c>
    </row>
    <row r="5" spans="1:5" x14ac:dyDescent="0.25">
      <c r="A5" t="s">
        <v>43</v>
      </c>
      <c r="B5" s="18">
        <v>216578000000</v>
      </c>
      <c r="C5" s="18">
        <v>168909000000</v>
      </c>
      <c r="D5" s="18">
        <v>180485000000</v>
      </c>
      <c r="E5" s="8" t="s">
        <v>84</v>
      </c>
    </row>
    <row r="6" spans="1:5" x14ac:dyDescent="0.25">
      <c r="A6" t="s">
        <v>44</v>
      </c>
      <c r="B6" s="18">
        <v>158447000000</v>
      </c>
      <c r="C6" s="18">
        <v>114386000000</v>
      </c>
      <c r="D6" s="18">
        <v>127686000000</v>
      </c>
      <c r="E6" s="8" t="s">
        <v>85</v>
      </c>
    </row>
    <row r="7" spans="1:5" x14ac:dyDescent="0.25">
      <c r="A7" t="s">
        <v>86</v>
      </c>
      <c r="B7" s="18">
        <v>0</v>
      </c>
      <c r="C7" s="18">
        <v>0</v>
      </c>
      <c r="D7" s="18">
        <v>0</v>
      </c>
      <c r="E7" s="8" t="s">
        <v>85</v>
      </c>
    </row>
    <row r="8" spans="1:5" x14ac:dyDescent="0.25">
      <c r="A8" t="s">
        <v>87</v>
      </c>
      <c r="B8" s="18">
        <v>3177000000</v>
      </c>
      <c r="C8" s="18">
        <v>4420000000</v>
      </c>
      <c r="D8" s="18">
        <v>3721000000</v>
      </c>
      <c r="E8" s="8" t="s">
        <v>88</v>
      </c>
    </row>
    <row r="9" spans="1:5" x14ac:dyDescent="0.25">
      <c r="A9" t="s">
        <v>89</v>
      </c>
      <c r="B9" s="18">
        <v>584000000</v>
      </c>
      <c r="C9" s="18">
        <v>-582000000</v>
      </c>
      <c r="D9" s="18">
        <v>295000000</v>
      </c>
      <c r="E9" s="8" t="s">
        <v>85</v>
      </c>
    </row>
    <row r="10" spans="1:5" x14ac:dyDescent="0.25">
      <c r="A10" t="s">
        <v>90</v>
      </c>
      <c r="B10" s="18">
        <v>115312000000</v>
      </c>
      <c r="C10" s="18">
        <v>98937000000</v>
      </c>
      <c r="D10" s="18">
        <v>89116000000</v>
      </c>
      <c r="E10" s="8" t="s">
        <v>91</v>
      </c>
    </row>
    <row r="11" spans="1:5" x14ac:dyDescent="0.25">
      <c r="A11" t="s">
        <v>92</v>
      </c>
      <c r="B11" s="18">
        <v>14058000000</v>
      </c>
      <c r="C11" s="18">
        <v>17220000000</v>
      </c>
      <c r="D11" s="18">
        <v>18794000000</v>
      </c>
      <c r="E11" s="8" t="s">
        <v>93</v>
      </c>
    </row>
    <row r="12" spans="1:5" x14ac:dyDescent="0.25">
      <c r="A12" t="s">
        <v>32</v>
      </c>
      <c r="B12" s="34">
        <v>3063100000</v>
      </c>
      <c r="C12" s="34">
        <v>3063000000</v>
      </c>
      <c r="D12" s="34">
        <v>3062800000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70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22" customHeight="1" spans="1:5" x14ac:dyDescent="0.25">
      <c r="A19" s="35" t="s">
        <v>99</v>
      </c>
      <c r="B19" s="35"/>
      <c r="C19" s="35"/>
      <c r="D19" s="35"/>
      <c r="E19" s="35"/>
    </row>
    <row r="20" ht="22" customHeight="1" spans="1:5" x14ac:dyDescent="0.25">
      <c r="A20" s="35" t="s">
        <v>100</v>
      </c>
      <c r="B20" s="35"/>
      <c r="C20" s="35"/>
      <c r="D20" s="35"/>
      <c r="E20" s="35"/>
    </row>
    <row r="21" ht="54" customHeight="1" spans="1:5" x14ac:dyDescent="0.25">
      <c r="A21" s="35" t="s">
        <v>101</v>
      </c>
      <c r="B21" s="35"/>
      <c r="C21" s="35"/>
      <c r="D21" s="35"/>
      <c r="E21" s="35"/>
    </row>
    <row r="22" ht="22" customHeight="1" spans="1:5" x14ac:dyDescent="0.25">
      <c r="A22" s="35" t="s">
        <v>102</v>
      </c>
      <c r="B22" s="35"/>
      <c r="C22" s="35"/>
      <c r="D22" s="35"/>
      <c r="E22" s="35"/>
    </row>
    <row r="23" ht="22" customHeight="1" spans="1:5" x14ac:dyDescent="0.25">
      <c r="A23" s="35" t="s">
        <v>103</v>
      </c>
      <c r="B23" s="35"/>
      <c r="C23" s="35"/>
      <c r="D23" s="35"/>
      <c r="E23" s="35"/>
    </row>
    <row r="25" spans="1:1" x14ac:dyDescent="0.25">
      <c r="A25" s="36" t="s">
        <v>104</v>
      </c>
    </row>
  </sheetData>
  <mergeCells count="8">
    <mergeCell ref="A16:E16"/>
    <mergeCell ref="A17:E17"/>
    <mergeCell ref="A18:E18"/>
    <mergeCell ref="A19:E19"/>
    <mergeCell ref="A20:E20"/>
    <mergeCell ref="A21:E21"/>
    <mergeCell ref="A22:E22"/>
    <mergeCell ref="A23:E2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2026-09-19T00:08:37Z</dcterms:modified>
</cp:coreProperties>
</file>