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<sst xmlns="http://schemas.openxmlformats.org/spreadsheetml/2006/main" count="121" uniqueCount="108">
  <si>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Invitation Homes Inc. (INVH)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</si>
  <si>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</si>
  <si>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</si>
  <si>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</si>
  <si>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</si>
  <si>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</si>
  <si>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</si>
  <si>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</si>
  <si>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</si>
  <si>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</si>
  <si>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</si>
  <si>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</si>
  <si>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</si>
  <si>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</si>
  <si>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</si>
  <si>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</si>
  <si>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</si>
  <si>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</si>
  <si>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</si>
  <si>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</si>
  <si>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</si>
  <si>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</si>
  <si>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</si>
  <si>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</si>
  <si>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</si>
  <si>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</si>
  <si>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</si>
  <si>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</si>
  <si>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</si>
  <si>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</si>
  <si>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</si>
  <si>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</si>
  <si>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</si>
  <si>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</si>
  <si>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</si>
  <si>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</si>
  <si>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</si>
  <si>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</si>
  <si>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</si>
  <si>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</si>
  <si>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</si>
  <si>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</si>
  <si>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</si>
  <si>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</si>
  <si>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</si>
  <si>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</si>
  <si>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</si>
  <si>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</si>
  <si>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</si>
  <si>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</si>
  <si>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</si>
  <si>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</si>
  <si>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</si>
  <si>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</si>
  <si>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</si>
  <si>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</si>
  <si>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</si>
  <si>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</si>
  <si>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</si>
  <si>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</si>
  <si>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</si>
  <si>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</si>
  <si>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</si>
  <si>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</si>
  <si>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</si>
  <si>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</si>
  <si>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</si>
  <si>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</si>
  <si>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</si>
  <si>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</si>
  <si>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</si>
  <si>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</si>
  <si>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</si>
  <si>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</si>
  <si>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</si>
  <si>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</si>
  <si>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</si>
  <si>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</si>
  <si>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</si>
  <si>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</si>
  <si>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</si>
  <si>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</si>
  <si>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</si>
  <si>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</si>
  <si>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</si>
  <si>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</si>
  <si>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</si>
  <si>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</si>
  <si>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</si>
  <si>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</si>
  <si>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</si>
  <si>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</si>
  <si>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</si>
  <si>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</si>
  <si>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</si>
  <si>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</si>
  <si>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</si>
  <si>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</si>
  <si>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</si>
  <si>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</si>
  <si>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</si>
  <si>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</si>
  <si>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</si>
  <si>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</si>
  <si>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</si>
  <si>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2 analyst estimate(s).</t>
  </si>
  <si>
    <t>Adjusted: Reported capital expenditure averages 8.91% of revenue against depreciation of 27.46%. A business cannot depreciate more than it invests indefinitely. Capex has been set to 27.46%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</si>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</sst>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0.08381502043017686</v>
      </c>
    </row>
    <row r="7" spans="1:2" x14ac:dyDescent="0.25">
      <c r="A7" t="s">
        <v>4</v>
      </c>
      <c r="B7" s="5">
        <v>0.28436898996120197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0.27719050536229084</v>
      </c>
    </row>
    <row r="10" spans="1:3" x14ac:dyDescent="0.25">
      <c r="A10" t="s">
        <v>7</v>
      </c>
      <c r="B10" s="5">
        <v>0.274550179102295</v>
      </c>
      <c r="C10" s="6" t="s">
        <v>8</v>
      </c>
    </row>
    <row r="11" spans="1:2" x14ac:dyDescent="0.25">
      <c r="A11" t="s">
        <v>9</v>
      </c>
      <c r="B11" s="5">
        <v>-0.11192302747182102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15.808209016166565</v>
      </c>
    </row>
    <row r="14" spans="1:3" x14ac:dyDescent="0.25">
      <c r="A14" t="s">
        <v>12</v>
      </c>
      <c r="B14" s="5">
        <v>0.07976727190841894</v>
      </c>
      <c r="C14" s="6" t="s">
        <v>13</v>
      </c>
    </row>
    <row r="15" spans="1:3" x14ac:dyDescent="0.25">
      <c r="A15" t="s">
        <v>14</v>
      </c>
      <c r="B15" s="5">
        <v>0.274550179102295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0.88811</v>
      </c>
      <c r="C19" s="6" t="s">
        <v>21</v>
      </c>
    </row>
    <row r="20" spans="1:2" x14ac:dyDescent="0.25">
      <c r="A20" t="s">
        <v>22</v>
      </c>
      <c r="B20" s="9">
        <f>B17+B19*B18</f>
        <v>0.086507053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15451657216</v>
      </c>
    </row>
    <row r="23" spans="1:2" x14ac:dyDescent="0.25">
      <c r="A23" t="s">
        <v>26</v>
      </c>
      <c r="B23" s="10">
        <v>8380020000</v>
      </c>
    </row>
    <row r="24" spans="1:2" x14ac:dyDescent="0.25">
      <c r="A24" t="s">
        <v>27</v>
      </c>
      <c r="B24" s="9">
        <f>B22/(B22+B23)</f>
        <v>0.6483663351073813</v>
      </c>
    </row>
    <row r="25" spans="1:2" x14ac:dyDescent="0.25">
      <c r="A25" t="s">
        <v>28</v>
      </c>
      <c r="B25" s="9">
        <f>1-B24</f>
        <v>0.3516336648926187</v>
      </c>
    </row>
    <row r="26" spans="1:2" x14ac:dyDescent="0.25">
      <c r="A26" t="s">
        <v>29</v>
      </c>
      <c r="B26" s="11">
        <f>B24*B20+B25*B21*(1-B8)</f>
        <v>0.07976727190841894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2729296000</v>
      </c>
      <c r="C29" s="6" t="s">
        <v>32</v>
      </c>
    </row>
    <row r="30" spans="1:2" x14ac:dyDescent="0.25">
      <c r="A30" t="s">
        <v>33</v>
      </c>
      <c r="B30" s="10">
        <v>8250049000</v>
      </c>
    </row>
    <row r="31" spans="1:2" x14ac:dyDescent="0.25">
      <c r="A31" t="s">
        <v>34</v>
      </c>
      <c r="B31" s="12">
        <v>613177806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0.08381502043017686</v>
      </c>
      <c r="C5" s="5">
        <v>0.02168061954286138</v>
      </c>
      <c r="D5" s="5">
        <v>0.022095542100003706</v>
      </c>
      <c r="E5" s="5">
        <v>0.022510464657146033</v>
      </c>
      <c r="F5" s="5">
        <v>0.022925387214288363</v>
      </c>
      <c r="G5" s="5">
        <v>0.02334030977143069</v>
      </c>
      <c r="H5" s="5">
        <v>0.023755232328573017</v>
      </c>
      <c r="I5" s="5">
        <v>0.024170154885715348</v>
      </c>
      <c r="J5" s="5">
        <v>0.024585077442857674</v>
      </c>
      <c r="K5" s="5">
        <v>0.025</v>
      </c>
    </row>
    <row r="6" spans="1:11" x14ac:dyDescent="0.25">
      <c r="A6" t="s">
        <v>50</v>
      </c>
      <c r="B6" s="18">
        <f>Assumptions!B29*(1+B5)</f>
        <v>2958052000</v>
      </c>
      <c r="C6" s="18">
        <f>B6*(1+C5)</f>
        <v>3022184400</v>
      </c>
      <c r="D6" s="18">
        <f>C6*(1+D5)</f>
        <v>3088961202.6441746</v>
      </c>
      <c r="E6" s="18">
        <f>D6*(1+E5)</f>
        <v>3158495154.623592</v>
      </c>
      <c r="F6" s="18">
        <f>E6*(1+F5)</f>
        <v>3230904879.057791</v>
      </c>
      <c r="G6" s="18">
        <f>F6*(1+G5)</f>
        <v>3306315199.7770267</v>
      </c>
      <c r="H6" s="18">
        <f>G6*(1+H5)</f>
        <v>3384857485.4992223</v>
      </c>
      <c r="I6" s="18">
        <f>H6*(1+I5)</f>
        <v>3466670015.1898117</v>
      </c>
      <c r="J6" s="18">
        <f>I6*(1+J5)</f>
        <v>3551898365.982086</v>
      </c>
      <c r="K6" s="18">
        <f>J6*(1+K5)</f>
        <v>3640695825.131638</v>
      </c>
    </row>
    <row r="7" spans="1:11" x14ac:dyDescent="0.25">
      <c r="A7" t="s">
        <v>4</v>
      </c>
      <c r="B7" s="9">
        <f>Assumptions!B7</f>
        <v>0.28436898996120197</v>
      </c>
      <c r="C7" s="9">
        <f>Assumptions!B7</f>
        <v>0.28436898996120197</v>
      </c>
      <c r="D7" s="9">
        <f>Assumptions!B7</f>
        <v>0.28436898996120197</v>
      </c>
      <c r="E7" s="9">
        <f>Assumptions!B7</f>
        <v>0.28436898996120197</v>
      </c>
      <c r="F7" s="9">
        <f>Assumptions!B7</f>
        <v>0.28436898996120197</v>
      </c>
      <c r="G7" s="9">
        <f>Assumptions!B7</f>
        <v>0.28436898996120197</v>
      </c>
      <c r="H7" s="9">
        <f>Assumptions!B7</f>
        <v>0.28436898996120197</v>
      </c>
      <c r="I7" s="9">
        <f>Assumptions!B7</f>
        <v>0.28436898996120197</v>
      </c>
      <c r="J7" s="9">
        <f>Assumptions!B7</f>
        <v>0.28436898996120197</v>
      </c>
      <c r="K7" s="9">
        <f>Assumptions!B7</f>
        <v>0.28436898996120197</v>
      </c>
    </row>
    <row r="8" spans="1:11" x14ac:dyDescent="0.25">
      <c r="A8" t="s">
        <v>51</v>
      </c>
      <c r="B8" s="18">
        <f>B6*B7</f>
        <v>841178259.4927135</v>
      </c>
      <c r="C8" s="18">
        <f>C6*C7</f>
        <v>859415525.3045012</v>
      </c>
      <c r="D8" s="18">
        <f>D6*D7</f>
        <v>878404777.2252636</v>
      </c>
      <c r="E8" s="18">
        <f>E6*E7</f>
        <v>898178076.9176613</v>
      </c>
      <c r="F8" s="18">
        <f>F6*F7</f>
        <v>918769157.1183835</v>
      </c>
      <c r="G8" s="18">
        <f>G6*G7</f>
        <v>940213513.8539628</v>
      </c>
      <c r="H8" s="18">
        <f>H6*H7</f>
        <v>962548504.3140277</v>
      </c>
      <c r="I8" s="18">
        <f>I6*I7</f>
        <v>985813450.7483114</v>
      </c>
      <c r="J8" s="18">
        <f>J6*J7</f>
        <v>1010049750.7791696</v>
      </c>
      <c r="K8" s="18">
        <f>K6*K7</f>
        <v>1035300994.5486487</v>
      </c>
    </row>
    <row r="9" spans="1:11" x14ac:dyDescent="0.25">
      <c r="A9" t="s">
        <v>52</v>
      </c>
      <c r="B9" s="18">
        <f>B8*(1-Assumptions!B8)</f>
        <v>841178259.4927135</v>
      </c>
      <c r="C9" s="18">
        <f>C8*(1-Assumptions!B8)</f>
        <v>859415525.3045012</v>
      </c>
      <c r="D9" s="18">
        <f>D8*(1-Assumptions!B8)</f>
        <v>878404777.2252636</v>
      </c>
      <c r="E9" s="18">
        <f>E8*(1-Assumptions!B8)</f>
        <v>898178076.9176613</v>
      </c>
      <c r="F9" s="18">
        <f>F8*(1-Assumptions!B8)</f>
        <v>918769157.1183835</v>
      </c>
      <c r="G9" s="18">
        <f>G8*(1-Assumptions!B8)</f>
        <v>940213513.8539628</v>
      </c>
      <c r="H9" s="18">
        <f>H8*(1-Assumptions!B8)</f>
        <v>962548504.3140277</v>
      </c>
      <c r="I9" s="18">
        <f>I8*(1-Assumptions!B8)</f>
        <v>985813450.7483114</v>
      </c>
      <c r="J9" s="18">
        <f>J8*(1-Assumptions!B8)</f>
        <v>1010049750.7791696</v>
      </c>
      <c r="K9" s="18">
        <f>K8*(1-Assumptions!B8)</f>
        <v>1035300994.5486487</v>
      </c>
    </row>
    <row r="10" spans="1:11" x14ac:dyDescent="0.25">
      <c r="A10" t="s">
        <v>53</v>
      </c>
      <c r="B10" s="18">
        <f>B6*Assumptions!B9</f>
        <v>819943928.7679352</v>
      </c>
      <c r="C10" s="18">
        <f>C6*Assumptions!B9</f>
        <v>837720821.1340318</v>
      </c>
      <c r="D10" s="18">
        <f>D6*Assumptions!B9</f>
        <v>856230716.8054484</v>
      </c>
      <c r="E10" s="18">
        <f>E6*Assumptions!B9</f>
        <v>875504868.0944604</v>
      </c>
      <c r="F10" s="18">
        <f>F6*Assumptions!B9</f>
        <v>895576156.2035203</v>
      </c>
      <c r="G10" s="18">
        <f>G6*Assumptions!B9</f>
        <v>916479181.1132176</v>
      </c>
      <c r="H10" s="18">
        <f>H6*Assumptions!B9</f>
        <v>938250356.9848624</v>
      </c>
      <c r="I10" s="18">
        <f>I6*Assumptions!B9</f>
        <v>960928013.4347644</v>
      </c>
      <c r="J10" s="18">
        <f>J6*Assumptions!B9</f>
        <v>984552503.0620695</v>
      </c>
      <c r="K10" s="18">
        <f>K6*Assumptions!B9</f>
        <v>1009166315.6386212</v>
      </c>
    </row>
    <row r="11" spans="1:11" x14ac:dyDescent="0.25">
      <c r="A11" t="s">
        <v>54</v>
      </c>
      <c r="B11" s="18">
        <f>-B6*B19</f>
        <v>-812133706.393902</v>
      </c>
      <c r="C11" s="18">
        <f>-C6*C19</f>
        <v>-859947024.557852</v>
      </c>
      <c r="D11" s="18">
        <f>-D6*D19</f>
        <v>-909821189.0594872</v>
      </c>
      <c r="E11" s="18">
        <f>-E6*E19</f>
        <v>-961869824.9723812</v>
      </c>
      <c r="F11" s="18">
        <f>-F6*F19</f>
        <v>-1016212913.1435517</v>
      </c>
      <c r="G11" s="18">
        <f>-G6*G19</f>
        <v>-1072977189.0957072</v>
      </c>
      <c r="H11" s="18">
        <f>-H6*H19</f>
        <v>-1132296568.0312107</v>
      </c>
      <c r="I11" s="18">
        <f>-I6*I19</f>
        <v>-1194312597.7734509</v>
      </c>
      <c r="J11" s="18">
        <f>-J6*J19</f>
        <v>-1259174941.6160004</v>
      </c>
      <c r="K11" s="18">
        <f>-K6*K19</f>
        <v>-1327041893.195092</v>
      </c>
    </row>
    <row r="12" spans="1:11" x14ac:dyDescent="0.25">
      <c r="A12" t="s">
        <v>55</v>
      </c>
      <c r="B12" s="18">
        <f>-(B6-Assumptions!B29)*Assumptions!B11</f>
        <v>25603064.07234389</v>
      </c>
      <c r="C12" s="18">
        <f>-(C6-B6)*Assumptions!B11</f>
        <v>7177892.367033814</v>
      </c>
      <c r="D12" s="18">
        <f>-(D6-C6)*Assumptions!B11</f>
        <v>7473861.916824321</v>
      </c>
      <c r="E12" s="18">
        <f>-(E6-D6)*Assumptions!B11</f>
        <v>7782450.417616609</v>
      </c>
      <c r="F12" s="18">
        <f>-(F6-E6)*Assumptions!B11</f>
        <v>8104315.577075882</v>
      </c>
      <c r="G12" s="18">
        <f>-(G6-F6)*Assumptions!B11</f>
        <v>8440151.397517819</v>
      </c>
      <c r="H12" s="18">
        <f>-(H6-G6)*Assumptions!B11</f>
        <v>8790690.402584918</v>
      </c>
      <c r="I12" s="18">
        <f>-(I6-H6)*Assumptions!B11</f>
        <v>9156706.008099014</v>
      </c>
      <c r="J12" s="18">
        <f>-(J6-I6)*Assumptions!B11</f>
        <v>9539015.047101734</v>
      </c>
      <c r="K12" s="18">
        <f>-(K6-J6)*Assumptions!B11</f>
        <v>9938480.459823199</v>
      </c>
    </row>
    <row r="13" spans="1:11" x14ac:dyDescent="0.25">
      <c r="A13" s="19" t="s">
        <v>56</v>
      </c>
      <c r="B13" s="20">
        <f>B9+B10+B11+B12</f>
        <v>874591545.9390907</v>
      </c>
      <c r="C13" s="20">
        <f>C9+C10+C11+C12</f>
        <v>844367214.2477146</v>
      </c>
      <c r="D13" s="20">
        <f>D9+D10+D11+D12</f>
        <v>832288166.8880492</v>
      </c>
      <c r="E13" s="20">
        <f>E9+E10+E11+E12</f>
        <v>819595570.457357</v>
      </c>
      <c r="F13" s="20">
        <f>F9+F10+F11+F12</f>
        <v>806236715.7554278</v>
      </c>
      <c r="G13" s="20">
        <f>G9+G10+G11+G12</f>
        <v>792155657.2689909</v>
      </c>
      <c r="H13" s="20">
        <f>H9+H10+H11+H12</f>
        <v>777292983.6702644</v>
      </c>
      <c r="I13" s="20">
        <f>I9+I10+I11+I12</f>
        <v>761585572.417724</v>
      </c>
      <c r="J13" s="20">
        <f>J9+J10+J11+J12</f>
        <v>744966327.2723403</v>
      </c>
      <c r="K13" s="20">
        <f>K9+K10+K11+K12</f>
        <v>727363897.4520012</v>
      </c>
    </row>
    <row r="14" spans="1:11" x14ac:dyDescent="0.25">
      <c r="A14" t="s">
        <v>57</v>
      </c>
      <c r="B14" s="21">
        <f>1/(1+Assumptions!$B$26)^(1-0.5*Assumptions!$B$32)</f>
        <v>0.9623541425891571</v>
      </c>
      <c r="C14" s="21">
        <f>1/(1+Assumptions!$B$26)^(2-0.5*Assumptions!$B$32)</f>
        <v>0.8912607074006402</v>
      </c>
      <c r="D14" s="21">
        <f>1/(1+Assumptions!$B$26)^(3-0.5*Assumptions!$B$32)</f>
        <v>0.8254192644914995</v>
      </c>
      <c r="E14" s="21">
        <f>1/(1+Assumptions!$B$26)^(4-0.5*Assumptions!$B$32)</f>
        <v>0.7644418255358159</v>
      </c>
      <c r="F14" s="21">
        <f>1/(1+Assumptions!$B$26)^(5-0.5*Assumptions!$B$32)</f>
        <v>0.707969064652899</v>
      </c>
      <c r="G14" s="21">
        <f>1/(1+Assumptions!$B$26)^(6-0.5*Assumptions!$B$32)</f>
        <v>0.6556682009833558</v>
      </c>
      <c r="H14" s="21">
        <f>1/(1+Assumptions!$B$26)^(7-0.5*Assumptions!$B$32)</f>
        <v>0.6072310376888016</v>
      </c>
      <c r="I14" s="21">
        <f>1/(1+Assumptions!$B$26)^(8-0.5*Assumptions!$B$32)</f>
        <v>0.5623721458194967</v>
      </c>
      <c r="J14" s="21">
        <f>1/(1+Assumptions!$B$26)^(9-0.5*Assumptions!$B$32)</f>
        <v>0.5208271823478593</v>
      </c>
      <c r="K14" s="21">
        <f>1/(1+Assumptions!$B$26)^(10-0.5*Assumptions!$B$32)</f>
        <v>0.48235133245641987</v>
      </c>
    </row>
    <row r="15" spans="1:11" x14ac:dyDescent="0.25">
      <c r="A15" s="19" t="s">
        <v>58</v>
      </c>
      <c r="B15" s="20">
        <f>B13*B14</f>
        <v>841666797.307939</v>
      </c>
      <c r="C15" s="20">
        <f>C13*C14</f>
        <v>752551320.676326</v>
      </c>
      <c r="D15" s="20">
        <f>D13*D14</f>
        <v>686986686.557712</v>
      </c>
      <c r="E15" s="20">
        <f>E13*E14</f>
        <v>626533134.0814904</v>
      </c>
      <c r="F15" s="20">
        <f>F13*F14</f>
        <v>570790653.5421954</v>
      </c>
      <c r="G15" s="20">
        <f>G13*G14</f>
        <v>519391274.700347</v>
      </c>
      <c r="H15" s="20">
        <f>H13*H14</f>
        <v>471996425.06231934</v>
      </c>
      <c r="I15" s="20">
        <f>I13*I14</f>
        <v>428294512.5857251</v>
      </c>
      <c r="J15" s="20">
        <f>J13*J14</f>
        <v>387998713.1772862</v>
      </c>
      <c r="K15" s="20">
        <f>K13*K14</f>
        <v>350844945.1166675</v>
      </c>
    </row>
    <row r="17" spans="1:2" x14ac:dyDescent="0.25">
      <c r="A17" s="22" t="s">
        <v>59</v>
      </c>
      <c r="B17" s="23">
        <f>SUM(B15:K15)</f>
        <v>5637054462.808008</v>
      </c>
    </row>
    <row r="19" spans="1:11" x14ac:dyDescent="0.25">
      <c r="A19" t="s">
        <v>7</v>
      </c>
      <c r="B19" s="9">
        <f>Assumptions!$B$10+($B$20-Assumptions!$B$10)*0/9</f>
        <v>0.274550179102295</v>
      </c>
      <c r="C19" s="9">
        <f>Assumptions!$B$10+($B$20-Assumptions!$B$10)*1/9</f>
        <v>0.2845448558856475</v>
      </c>
      <c r="D19" s="9">
        <f>Assumptions!$B$10+($B$20-Assumptions!$B$10)*2/9</f>
        <v>0.29453953266899996</v>
      </c>
      <c r="E19" s="9">
        <f>Assumptions!$B$10+($B$20-Assumptions!$B$10)*3/9</f>
        <v>0.30453420945235243</v>
      </c>
      <c r="F19" s="9">
        <f>Assumptions!$B$10+($B$20-Assumptions!$B$10)*4/9</f>
        <v>0.31452888623570485</v>
      </c>
      <c r="G19" s="9">
        <f>Assumptions!$B$10+($B$20-Assumptions!$B$10)*5/9</f>
        <v>0.3245235630190574</v>
      </c>
      <c r="H19" s="9">
        <f>Assumptions!$B$10+($B$20-Assumptions!$B$10)*6/9</f>
        <v>0.3345182398024098</v>
      </c>
      <c r="I19" s="9">
        <f>Assumptions!$B$10+($B$20-Assumptions!$B$10)*7/9</f>
        <v>0.3445129165857623</v>
      </c>
      <c r="J19" s="9">
        <f>Assumptions!$B$10+($B$20-Assumptions!$B$10)*8/9</f>
        <v>0.35450759336911475</v>
      </c>
      <c r="K19" s="9">
        <f>Assumptions!$B$10+($B$20-Assumptions!$B$10)*9/9</f>
        <v>0.3645022701524672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0.3645022701524672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727363897.4520012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1044913619.3404009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0.31341174647043946</v>
      </c>
    </row>
    <row r="7" spans="1:2" x14ac:dyDescent="0.25">
      <c r="A7" t="s">
        <v>66</v>
      </c>
      <c r="B7" s="18">
        <f>-MAX(B5,0)*B6</f>
        <v>-327488202.34822303</v>
      </c>
    </row>
    <row r="8" spans="1:2" x14ac:dyDescent="0.25">
      <c r="A8" t="s">
        <v>67</v>
      </c>
      <c r="B8" s="18">
        <f>IF(OR(Assumptions!$B$33=0,Assumptions!B12&lt;=0),B5,MAX(B5+B7,0))</f>
        <v>717425416.992178</v>
      </c>
    </row>
    <row r="9" spans="1:2" x14ac:dyDescent="0.25">
      <c r="A9" t="s">
        <v>68</v>
      </c>
      <c r="B9" s="18">
        <f>B8*(1+Assumptions!B12)/(Assumptions!B26-Assumptions!B12)</f>
        <v>13427016296.27714</v>
      </c>
    </row>
    <row r="10" spans="1:2" x14ac:dyDescent="0.25">
      <c r="A10" t="s">
        <v>69</v>
      </c>
      <c r="B10" s="18">
        <f>B9/(1+Assumptions!B26)^(10-0.5*Assumptions!B32)</f>
        <v>6476539201.423342</v>
      </c>
    </row>
    <row r="11" spans="1:2" x14ac:dyDescent="0.25">
      <c r="A11" t="s">
        <v>70</v>
      </c>
      <c r="B11" s="18">
        <f>Forecast!B17+B10</f>
        <v>12113593664.23135</v>
      </c>
    </row>
    <row r="12" spans="1:2" x14ac:dyDescent="0.25">
      <c r="A12" t="s">
        <v>71</v>
      </c>
      <c r="B12" s="18">
        <f>-Assumptions!B30</f>
        <v>-8250049000</v>
      </c>
    </row>
    <row r="13" spans="1:2" x14ac:dyDescent="0.25">
      <c r="A13" t="s">
        <v>72</v>
      </c>
      <c r="B13" s="18">
        <f>B11+B12</f>
        <v>3863544664.23135</v>
      </c>
    </row>
    <row r="14" spans="1:2" x14ac:dyDescent="0.25">
      <c r="A14" s="19" t="s">
        <v>73</v>
      </c>
      <c r="B14" s="24">
        <f>B13/Assumptions!B31</f>
        <v>6.300855357819898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2044467310.18727</v>
      </c>
    </row>
    <row r="18" spans="1:2" x14ac:dyDescent="0.25">
      <c r="A18" t="s">
        <v>68</v>
      </c>
      <c r="B18" s="18">
        <f>B17*Assumptions!B13</f>
        <v>32319366566.160206</v>
      </c>
    </row>
    <row r="19" spans="1:2" x14ac:dyDescent="0.25">
      <c r="A19" t="s">
        <v>69</v>
      </c>
      <c r="B19" s="18">
        <f>B18/(1+Assumptions!B26)^(10-0.5*Assumptions!B32)</f>
        <v>15589289527.334843</v>
      </c>
    </row>
    <row r="20" spans="1:2" x14ac:dyDescent="0.25">
      <c r="A20" t="s">
        <v>70</v>
      </c>
      <c r="B20" s="18">
        <f>Forecast!B17+B19</f>
        <v>21226343990.142853</v>
      </c>
    </row>
    <row r="21" spans="1:2" x14ac:dyDescent="0.25">
      <c r="A21" t="s">
        <v>71</v>
      </c>
      <c r="B21" s="18">
        <f>-Assumptions!B30</f>
        <v>-8250049000</v>
      </c>
    </row>
    <row r="22" spans="1:2" x14ac:dyDescent="0.25">
      <c r="A22" t="s">
        <v>72</v>
      </c>
      <c r="B22" s="18">
        <f>B20+B21</f>
        <v>12976294990.142853</v>
      </c>
    </row>
    <row r="23" spans="1:2" x14ac:dyDescent="0.25">
      <c r="A23" s="19" t="s">
        <v>73</v>
      </c>
      <c r="B23" s="25">
        <f>B22/Assumptions!B31</f>
        <v>21.162368995042936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26.56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6.300855357819898</v>
      </c>
    </row>
    <row r="29" spans="1:2" x14ac:dyDescent="0.25">
      <c r="A29" s="19" t="s">
        <v>81</v>
      </c>
      <c r="B29" s="11">
        <f>B28/B26-1</f>
        <v>-0.7627690000820821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0.059767</v>
      </c>
      <c r="B5" s="31">
        <v>13.516455800558974</v>
      </c>
      <c r="C5" s="31">
        <v>13.147553550433548</v>
      </c>
      <c r="D5" s="31">
        <v>12.778651300308105</v>
      </c>
      <c r="E5" s="31">
        <v>12.409749050182679</v>
      </c>
      <c r="F5" s="31">
        <v>12.040846800057249</v>
      </c>
    </row>
    <row r="6" spans="1:6" x14ac:dyDescent="0.25">
      <c r="A6" s="30">
        <v>0.069767</v>
      </c>
      <c r="B6" s="31">
        <v>9.672253707019218</v>
      </c>
      <c r="C6" s="31">
        <v>9.373571302425526</v>
      </c>
      <c r="D6" s="31">
        <v>9.074888897831832</v>
      </c>
      <c r="E6" s="31">
        <v>8.776206493238142</v>
      </c>
      <c r="F6" s="31">
        <v>8.477524088644445</v>
      </c>
    </row>
    <row r="7" spans="1:6" x14ac:dyDescent="0.25">
      <c r="A7" s="30">
        <v>0.079767</v>
      </c>
      <c r="B7" s="31">
        <v>6.795158474820296</v>
      </c>
      <c r="C7" s="31">
        <v>6.548039894028309</v>
      </c>
      <c r="D7" s="32">
        <v>6.300921313236319</v>
      </c>
      <c r="E7" s="31">
        <v>6.053802732444336</v>
      </c>
      <c r="F7" s="31">
        <v>5.806684151652344</v>
      </c>
    </row>
    <row r="8" spans="1:6" x14ac:dyDescent="0.25">
      <c r="A8" s="30">
        <v>0.089767</v>
      </c>
      <c r="B8" s="31">
        <v>4.561754537232511</v>
      </c>
      <c r="C8" s="31">
        <v>4.353853892853106</v>
      </c>
      <c r="D8" s="31">
        <v>4.145953248473702</v>
      </c>
      <c r="E8" s="31">
        <v>3.938052604094297</v>
      </c>
      <c r="F8" s="31">
        <v>3.7301519597148896</v>
      </c>
    </row>
    <row r="9" spans="1:6" x14ac:dyDescent="0.25">
      <c r="A9" s="30">
        <v>0.099767</v>
      </c>
      <c r="B9" s="31">
        <v>2.778309254444798</v>
      </c>
      <c r="C9" s="31">
        <v>2.6010546825285186</v>
      </c>
      <c r="D9" s="31">
        <v>2.4238001106122367</v>
      </c>
      <c r="E9" s="31">
        <v>2.246545538695958</v>
      </c>
      <c r="F9" s="31">
        <v>2.0692909667796755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2729296000</v>
      </c>
      <c r="C5" s="18">
        <v>2618942000</v>
      </c>
      <c r="D5" s="18">
        <v>2432278000</v>
      </c>
      <c r="E5" s="18">
        <v>2238121000</v>
      </c>
      <c r="F5" s="6" t="s">
        <v>91</v>
      </c>
    </row>
    <row r="6" spans="1:6" x14ac:dyDescent="0.25">
      <c r="A6" t="s">
        <v>51</v>
      </c>
      <c r="B6" s="18">
        <v>752396000</v>
      </c>
      <c r="C6" s="18">
        <v>741241000</v>
      </c>
      <c r="D6" s="18">
        <v>699503000</v>
      </c>
      <c r="E6" s="18">
        <v>651695000</v>
      </c>
      <c r="F6" s="6" t="s">
        <v>92</v>
      </c>
    </row>
    <row r="7" spans="1:6" x14ac:dyDescent="0.25">
      <c r="A7" t="s">
        <v>93</v>
      </c>
      <c r="B7" s="18">
        <v>746933000</v>
      </c>
      <c r="C7" s="18">
        <v>714326000</v>
      </c>
      <c r="D7" s="18">
        <v>674287000</v>
      </c>
      <c r="E7" s="18">
        <v>638114000</v>
      </c>
      <c r="F7" s="6" t="s">
        <v>94</v>
      </c>
    </row>
    <row r="8" spans="1:6" x14ac:dyDescent="0.25">
      <c r="A8" t="s">
        <v>95</v>
      </c>
      <c r="B8" s="18">
        <v>242752000</v>
      </c>
      <c r="C8" s="18">
        <v>219394000</v>
      </c>
      <c r="D8" s="18">
        <v>221102000</v>
      </c>
      <c r="E8" s="18">
        <v>208070000</v>
      </c>
      <c r="F8" s="6" t="s">
        <v>96</v>
      </c>
    </row>
    <row r="9" spans="1:6" x14ac:dyDescent="0.25">
      <c r="A9" t="s">
        <v>97</v>
      </c>
      <c r="B9" s="18">
        <v>-17591000</v>
      </c>
      <c r="C9" s="18">
        <v>-20892000</v>
      </c>
      <c r="D9" s="18">
        <v>-11965000</v>
      </c>
      <c r="E9" s="18">
        <v>10387000</v>
      </c>
      <c r="F9" s="6" t="s">
        <v>98</v>
      </c>
    </row>
    <row r="10" spans="1:6" x14ac:dyDescent="0.25">
      <c r="A10" t="s">
        <v>99</v>
      </c>
      <c r="B10" s="18">
        <v>8380020000</v>
      </c>
      <c r="C10" s="18">
        <v>8202302000</v>
      </c>
      <c r="D10" s="18">
        <v>8546052000</v>
      </c>
      <c r="E10" s="18">
        <v>7769077000</v>
      </c>
      <c r="F10" s="6" t="s">
        <v>100</v>
      </c>
    </row>
    <row r="11" spans="1:6" x14ac:dyDescent="0.25">
      <c r="A11" t="s">
        <v>101</v>
      </c>
      <c r="B11" s="18">
        <v>129971000</v>
      </c>
      <c r="C11" s="18">
        <v>174491000</v>
      </c>
      <c r="D11" s="18">
        <v>700618000</v>
      </c>
      <c r="E11" s="18">
        <v>262870000</v>
      </c>
      <c r="F11" s="6" t="s">
        <v>102</v>
      </c>
    </row>
    <row r="12" spans="1:6" x14ac:dyDescent="0.25">
      <c r="A12" t="s">
        <v>34</v>
      </c>
      <c r="B12" s="34">
        <v>613177806</v>
      </c>
      <c r="C12" s="34">
        <v>613631617</v>
      </c>
      <c r="D12" s="34">
        <v>613288708</v>
      </c>
      <c r="E12" s="34">
        <v>611112396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