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<sst xmlns="http://schemas.openxmlformats.org/spreadsheetml/2006/main" count="112" uniqueCount="100">
  <si>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Invitation Homes Inc. (INVH)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</si>
  <si>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</si>
  <si>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</si>
  <si>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</si>
  <si>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</si>
  <si>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</si>
  <si>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</si>
  <si>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</si>
  <si>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</si>
  <si>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</si>
  <si>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</si>
  <si>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</si>
  <si>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</si>
  <si>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</si>
  <si>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</si>
  <si>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</si>
  <si>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</si>
  <si>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</si>
  <si>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</si>
  <si>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</si>
  <si>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</si>
  <si>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</si>
  <si>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</si>
  <si>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</si>
  <si>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</si>
  <si>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</si>
  <si>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</si>
  <si>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</si>
  <si>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</si>
  <si>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</si>
  <si>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</si>
  <si>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</si>
  <si>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</si>
  <si>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</si>
  <si>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</si>
  <si>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</si>
  <si>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</si>
  <si>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</si>
  <si>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</si>
  <si>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</si>
  <si>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</si>
  <si>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</si>
  <si>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</si>
  <si>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</si>
  <si>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</si>
  <si>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</si>
  <si>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</si>
  <si>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</si>
  <si>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</si>
  <si>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</si>
  <si>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</si>
  <si>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</si>
  <si>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</si>
  <si>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</si>
  <si>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</si>
  <si>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</si>
  <si>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</si>
  <si>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</si>
  <si>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</si>
  <si>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</si>
  <si>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</si>
  <si>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</si>
  <si>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</si>
  <si>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</si>
  <si>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</si>
  <si>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</si>
  <si>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</si>
  <si>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</si>
  <si>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</si>
  <si>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</si>
  <si>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</si>
  <si>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</si>
  <si>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</si>
  <si>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</si>
  <si>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</si>
  <si>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</si>
  <si>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</si>
  <si>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</si>
  <si>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</si>
  <si>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</si>
  <si>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</si>
  <si>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</si>
  <si>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</si>
  <si>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</si>
  <si>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</si>
  <si>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</si>
  <si>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</si>
  <si>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</si>
  <si>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</si>
  <si>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</si>
  <si>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</si>
  <si>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</si>
  <si>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</si>
  <si>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</si>
  <si>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</si>
  <si>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</si>
  <si>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</si>
  <si>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</si>
  <si>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8.91% of revenue against depreciation of 27.46%. A business cannot depreciate more than it invests indefinitely. Capex has been set to 27.46%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</si>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</sst>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0.06837165898740327</v>
      </c>
    </row>
    <row r="7" spans="1:2" x14ac:dyDescent="0.25">
      <c r="A7" t="s">
        <v>5</v>
      </c>
      <c r="B7" s="6">
        <v>0.28436898996120197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0.27719050536229084</v>
      </c>
    </row>
    <row r="10" spans="1:2" x14ac:dyDescent="0.25">
      <c r="A10" t="s">
        <v>8</v>
      </c>
      <c r="B10" s="6">
        <v>0.274550179102295</v>
      </c>
    </row>
    <row r="11" spans="1:2" x14ac:dyDescent="0.25">
      <c r="A11" t="s">
        <v>9</v>
      </c>
      <c r="B11" s="6">
        <v>-0.11192302747182102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16.103016690799684</v>
      </c>
    </row>
    <row r="14" spans="1:3" x14ac:dyDescent="0.25">
      <c r="A14" t="s">
        <v>12</v>
      </c>
      <c r="B14" s="6">
        <v>0.08191464410975371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0.88677</v>
      </c>
      <c r="C19" s="8" t="s">
        <v>19</v>
      </c>
    </row>
    <row r="20" spans="1:2" x14ac:dyDescent="0.25">
      <c r="A20" t="s">
        <v>20</v>
      </c>
      <c r="B20" s="10">
        <f>B17+B19*B18</f>
        <v>0.09875235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15893670912</v>
      </c>
    </row>
    <row r="23" spans="1:2" x14ac:dyDescent="0.25">
      <c r="A23" t="s">
        <v>24</v>
      </c>
      <c r="B23" s="11">
        <v>8380020000</v>
      </c>
    </row>
    <row r="24" spans="1:2" x14ac:dyDescent="0.25">
      <c r="A24" t="s">
        <v>25</v>
      </c>
      <c r="B24" s="10">
        <f>B22/(B22+B23)</f>
        <v>0.6547694361611388</v>
      </c>
    </row>
    <row r="25" spans="1:2" x14ac:dyDescent="0.25">
      <c r="A25" t="s">
        <v>26</v>
      </c>
      <c r="B25" s="10">
        <f>1-B24</f>
        <v>0.3452305638388612</v>
      </c>
    </row>
    <row r="26" spans="1:2" x14ac:dyDescent="0.25">
      <c r="A26" t="s">
        <v>27</v>
      </c>
      <c r="B26" s="12">
        <f>B24*B20+B25*B21*(1-B8)</f>
        <v>0.08191464410975371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2729296000</v>
      </c>
      <c r="C29" s="8" t="s">
        <v>30</v>
      </c>
    </row>
    <row r="30" spans="1:2" x14ac:dyDescent="0.25">
      <c r="A30" t="s">
        <v>31</v>
      </c>
      <c r="B30" s="11">
        <v>8250049000</v>
      </c>
    </row>
    <row r="31" spans="1:2" x14ac:dyDescent="0.25">
      <c r="A31" t="s">
        <v>32</v>
      </c>
      <c r="B31" s="13">
        <v>613177806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0.06837165898740327</v>
      </c>
      <c r="C5" s="10">
        <f>Assumptions!B6</f>
        <v>0.06837165898740327</v>
      </c>
      <c r="D5" s="10">
        <f>Assumptions!B6</f>
        <v>0.06837165898740327</v>
      </c>
      <c r="E5" s="10">
        <f>Assumptions!B6</f>
        <v>0.06837165898740327</v>
      </c>
      <c r="F5" s="10">
        <f>Assumptions!B6</f>
        <v>0.06837165898740327</v>
      </c>
    </row>
    <row r="6" spans="1:6" x14ac:dyDescent="0.25">
      <c r="A6" t="s">
        <v>43</v>
      </c>
      <c r="B6" s="18">
        <f>Assumptions!B29*(1+B5)</f>
        <v>2915902495.387684</v>
      </c>
      <c r="C6" s="18">
        <f>B6*(1+C5)</f>
        <v>3115267586.4428487</v>
      </c>
      <c r="D6" s="18">
        <f>C6*(1+D5)</f>
        <v>3328263599.51763</v>
      </c>
      <c r="E6" s="18">
        <f>D6*(1+E5)</f>
        <v>3555822503.364037</v>
      </c>
      <c r="F6" s="18">
        <f>E6*(1+F5)</f>
        <v>3798939986.9837775</v>
      </c>
    </row>
    <row r="7" spans="1:6" x14ac:dyDescent="0.25">
      <c r="A7" t="s">
        <v>5</v>
      </c>
      <c r="B7" s="10">
        <f>Assumptions!B7</f>
        <v>0.28436898996120197</v>
      </c>
      <c r="C7" s="10">
        <f>Assumptions!B7</f>
        <v>0.28436898996120197</v>
      </c>
      <c r="D7" s="10">
        <f>Assumptions!B7</f>
        <v>0.28436898996120197</v>
      </c>
      <c r="E7" s="10">
        <f>Assumptions!B7</f>
        <v>0.28436898996120197</v>
      </c>
      <c r="F7" s="10">
        <f>Assumptions!B7</f>
        <v>0.28436898996120197</v>
      </c>
    </row>
    <row r="8" spans="1:6" x14ac:dyDescent="0.25">
      <c r="A8" t="s">
        <v>44</v>
      </c>
      <c r="B8" s="18">
        <f>B6*B7</f>
        <v>829192247.4387441</v>
      </c>
      <c r="C8" s="18">
        <f>C6*C7</f>
        <v>885885497.0156243</v>
      </c>
      <c r="D8" s="18">
        <f>D6*D7</f>
        <v>946454958.1194628</v>
      </c>
      <c r="E8" s="18">
        <f>E6*E7</f>
        <v>1011165653.7629439</v>
      </c>
      <c r="F8" s="18">
        <f>F6*F7</f>
        <v>1080300727.0217986</v>
      </c>
    </row>
    <row r="9" spans="1:6" x14ac:dyDescent="0.25">
      <c r="A9" t="s">
        <v>45</v>
      </c>
      <c r="B9" s="18">
        <f>B8*(1-Assumptions!B8)</f>
        <v>829192247.4387441</v>
      </c>
      <c r="C9" s="18">
        <f>C8*(1-Assumptions!B8)</f>
        <v>885885497.0156243</v>
      </c>
      <c r="D9" s="18">
        <f>D8*(1-Assumptions!B8)</f>
        <v>946454958.1194628</v>
      </c>
      <c r="E9" s="18">
        <f>E8*(1-Assumptions!B8)</f>
        <v>1011165653.7629439</v>
      </c>
      <c r="F9" s="18">
        <f>F8*(1-Assumptions!B8)</f>
        <v>1080300727.0217986</v>
      </c>
    </row>
    <row r="10" spans="1:6" x14ac:dyDescent="0.25">
      <c r="A10" t="s">
        <v>46</v>
      </c>
      <c r="B10" s="18">
        <f>B6*Assumptions!B9</f>
        <v>808260486.283677</v>
      </c>
      <c r="C10" s="18">
        <f>C6*Assumptions!B9</f>
        <v>863522596.6248573</v>
      </c>
      <c r="D10" s="18">
        <f>D6*Assumptions!B9</f>
        <v>922563069.129209</v>
      </c>
      <c r="E10" s="18">
        <f>E6*Assumptions!B9</f>
        <v>985640236.6860836</v>
      </c>
      <c r="F10" s="18">
        <f>F6*Assumptions!B9</f>
        <v>1053030094.8330479</v>
      </c>
    </row>
    <row r="11" spans="1:6" x14ac:dyDescent="0.25">
      <c r="A11" t="s">
        <v>47</v>
      </c>
      <c r="B11" s="18">
        <f>-B6*Assumptions!B10</f>
        <v>-800561552.3535175</v>
      </c>
      <c r="C11" s="18">
        <f>-C6*Assumptions!B10</f>
        <v>-855297273.8094584</v>
      </c>
      <c r="D11" s="18">
        <f>-D6*Assumptions!B10</f>
        <v>-913775367.3472145</v>
      </c>
      <c r="E11" s="18">
        <f>-E6*Assumptions!B10</f>
        <v>-976251705.1545674</v>
      </c>
      <c r="F11" s="18">
        <f>-F6*Assumptions!B10</f>
        <v>-1042999653.8252664</v>
      </c>
    </row>
    <row r="12" spans="1:6" x14ac:dyDescent="0.25">
      <c r="A12" t="s">
        <v>48</v>
      </c>
      <c r="B12" s="18">
        <f>-(B6-Assumptions!B29)*Assumptions!B11</f>
        <v>20885563.909695983</v>
      </c>
      <c r="C12" s="18">
        <f>-(C6-B6)*Assumptions!B11</f>
        <v>22313544.56308931</v>
      </c>
      <c r="D12" s="18">
        <f>-(D6-C6)*Assumptions!B11</f>
        <v>23839158.62275711</v>
      </c>
      <c r="E12" s="18">
        <f>-(E6-D6)*Assumptions!B11</f>
        <v>25469081.446658883</v>
      </c>
      <c r="F12" s="18">
        <f>-(F6-E6)*Assumptions!B11</f>
        <v>27210444.79805221</v>
      </c>
    </row>
    <row r="13" spans="1:6" x14ac:dyDescent="0.25">
      <c r="A13" s="19" t="s">
        <v>49</v>
      </c>
      <c r="B13" s="20">
        <f>B9+B10+B11+B12</f>
        <v>857776745.2785996</v>
      </c>
      <c r="C13" s="20">
        <f>C9+C10+C11+C12</f>
        <v>916424364.3941123</v>
      </c>
      <c r="D13" s="20">
        <f>D9+D10+D11+D12</f>
        <v>979081818.5242146</v>
      </c>
      <c r="E13" s="20">
        <f>E9+E10+E11+E12</f>
        <v>1046023266.741119</v>
      </c>
      <c r="F13" s="20">
        <f>F9+F10+F11+F12</f>
        <v>1117541612.8276324</v>
      </c>
    </row>
    <row r="14" spans="1:6" x14ac:dyDescent="0.25">
      <c r="A14" t="s">
        <v>50</v>
      </c>
      <c r="B14" s="21">
        <f>1/(1+Assumptions!$B$26)^(1-0.5*Assumptions!$B$32)</f>
        <v>0.961398633311468</v>
      </c>
      <c r="C14" s="21">
        <f>1/(1+Assumptions!$B$26)^(2-0.5*Assumptions!$B$32)</f>
        <v>0.8886085778999215</v>
      </c>
      <c r="D14" s="21">
        <f>1/(1+Assumptions!$B$26)^(3-0.5*Assumptions!$B$32)</f>
        <v>0.8213296517777584</v>
      </c>
      <c r="E14" s="21">
        <f>1/(1+Assumptions!$B$26)^(4-0.5*Assumptions!$B$32)</f>
        <v>0.7591445926435204</v>
      </c>
      <c r="F14" s="21">
        <f>1/(1+Assumptions!$B$26)^(5-0.5*Assumptions!$B$32)</f>
        <v>0.7016677302377928</v>
      </c>
    </row>
    <row r="15" spans="1:6" x14ac:dyDescent="0.25">
      <c r="A15" s="19" t="s">
        <v>51</v>
      </c>
      <c r="B15" s="20">
        <f>B13*B14</f>
        <v>824665390.5972049</v>
      </c>
      <c r="C15" s="20">
        <f>C13*C14</f>
        <v>814342551.1970917</v>
      </c>
      <c r="D15" s="20">
        <f>D13*D14</f>
        <v>804148929.0704277</v>
      </c>
      <c r="E15" s="20">
        <f>E13*E14</f>
        <v>794082906.7258313</v>
      </c>
      <c r="F15" s="20">
        <f>F13*F14</f>
        <v>784142886.9190471</v>
      </c>
    </row>
    <row r="17" spans="1:2" x14ac:dyDescent="0.25">
      <c r="A17" s="22" t="s">
        <v>52</v>
      </c>
      <c r="B17" s="23">
        <f>SUM(B15:F15)</f>
        <v>4021382664.5096025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1117541612.8276324</v>
      </c>
    </row>
    <row r="5" spans="1:2" x14ac:dyDescent="0.25">
      <c r="A5" t="s">
        <v>56</v>
      </c>
      <c r="B5" s="18">
        <f>IF(Assumptions!$B$33=0,B4,B4-Forecast!F11-Forecast!F10-Forecast!F12)</f>
        <v>1090331168.02958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0.3051957348005277</v>
      </c>
    </row>
    <row r="7" spans="1:2" x14ac:dyDescent="0.25">
      <c r="A7" t="s">
        <v>58</v>
      </c>
      <c r="B7" s="18">
        <f>-MAX(Forecast!F9,0)*B6</f>
        <v>-332764422.00270534</v>
      </c>
    </row>
    <row r="8" spans="1:2" x14ac:dyDescent="0.25">
      <c r="A8" t="s">
        <v>59</v>
      </c>
      <c r="B8" s="18">
        <f>IF(OR(Assumptions!$B$33=0,Assumptions!B12&lt;=0),B5,MAX(B5+B7,0))</f>
        <v>757566746.0268748</v>
      </c>
    </row>
    <row r="9" spans="1:2" x14ac:dyDescent="0.25">
      <c r="A9" t="s">
        <v>60</v>
      </c>
      <c r="B9" s="18">
        <f>B8*(1+Assumptions!B12)/(Assumptions!B26-Assumptions!B12)</f>
        <v>13643341302.110916</v>
      </c>
    </row>
    <row r="10" spans="1:2" x14ac:dyDescent="0.25">
      <c r="A10" t="s">
        <v>61</v>
      </c>
      <c r="B10" s="18">
        <f>B9/(1+Assumptions!B26)^(5-0.5*Assumptions!B32)</f>
        <v>9573092324.311699</v>
      </c>
    </row>
    <row r="11" spans="1:2" x14ac:dyDescent="0.25">
      <c r="A11" t="s">
        <v>62</v>
      </c>
      <c r="B11" s="18">
        <f>Forecast!B17+B10</f>
        <v>13594474988.8213</v>
      </c>
    </row>
    <row r="12" spans="1:2" x14ac:dyDescent="0.25">
      <c r="A12" t="s">
        <v>63</v>
      </c>
      <c r="B12" s="18">
        <f>-Assumptions!B30</f>
        <v>-8250049000</v>
      </c>
    </row>
    <row r="13" spans="1:2" x14ac:dyDescent="0.25">
      <c r="A13" t="s">
        <v>64</v>
      </c>
      <c r="B13" s="18">
        <f>B11+B12</f>
        <v>5344425988.8213005</v>
      </c>
    </row>
    <row r="14" spans="1:2" x14ac:dyDescent="0.25">
      <c r="A14" s="19" t="s">
        <v>65</v>
      </c>
      <c r="B14" s="24">
        <f>B13/Assumptions!B31</f>
        <v>8.715948190762306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2133330821.8548465</v>
      </c>
    </row>
    <row r="18" spans="1:2" x14ac:dyDescent="0.25">
      <c r="A18" t="s">
        <v>60</v>
      </c>
      <c r="B18" s="18">
        <f>B17*Assumptions!B13</f>
        <v>34353061831.326</v>
      </c>
    </row>
    <row r="19" spans="1:2" x14ac:dyDescent="0.25">
      <c r="A19" t="s">
        <v>61</v>
      </c>
      <c r="B19" s="18">
        <f>B18/(1+Assumptions!B26)^(5-0.5*Assumptions!B32)</f>
        <v>24104434921.905067</v>
      </c>
    </row>
    <row r="20" spans="1:2" x14ac:dyDescent="0.25">
      <c r="A20" t="s">
        <v>62</v>
      </c>
      <c r="B20" s="18">
        <f>Forecast!B17+B19</f>
        <v>28125817586.41467</v>
      </c>
    </row>
    <row r="21" spans="1:2" x14ac:dyDescent="0.25">
      <c r="A21" t="s">
        <v>63</v>
      </c>
      <c r="B21" s="18">
        <f>-Assumptions!B30</f>
        <v>-8250049000</v>
      </c>
    </row>
    <row r="22" spans="1:2" x14ac:dyDescent="0.25">
      <c r="A22" t="s">
        <v>64</v>
      </c>
      <c r="B22" s="18">
        <f>B20+B21</f>
        <v>19875768586.41467</v>
      </c>
    </row>
    <row r="23" spans="1:2" x14ac:dyDescent="0.25">
      <c r="A23" s="19" t="s">
        <v>65</v>
      </c>
      <c r="B23" s="25">
        <f>B22/Assumptions!B31</f>
        <v>32.414363977183264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8.715948190762306</v>
      </c>
    </row>
    <row r="29" spans="1:2" x14ac:dyDescent="0.25">
      <c r="A29" s="19" t="s">
        <v>73</v>
      </c>
      <c r="B29" s="12">
        <f>B28/B26-1</f>
        <v>-0.6761074622533516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0.061915</v>
      </c>
      <c r="B5" s="31">
        <v>15.661312866187576</v>
      </c>
      <c r="C5" s="31">
        <v>15.77089562437384</v>
      </c>
      <c r="D5" s="31">
        <v>15.880478382560103</v>
      </c>
      <c r="E5" s="31">
        <v>15.990061140746361</v>
      </c>
      <c r="F5" s="31">
        <v>16.099643898932626</v>
      </c>
    </row>
    <row r="6" spans="1:6" x14ac:dyDescent="0.25">
      <c r="A6" s="30">
        <v>0.071915</v>
      </c>
      <c r="B6" s="31">
        <v>11.617746169991667</v>
      </c>
      <c r="C6" s="31">
        <v>11.708194583132878</v>
      </c>
      <c r="D6" s="31">
        <v>11.798642996274086</v>
      </c>
      <c r="E6" s="31">
        <v>11.889091409415304</v>
      </c>
      <c r="F6" s="31">
        <v>11.979539822556516</v>
      </c>
    </row>
    <row r="7" spans="1:6" x14ac:dyDescent="0.25">
      <c r="A7" s="30">
        <v>0.081915</v>
      </c>
      <c r="B7" s="31">
        <v>8.563538052150765</v>
      </c>
      <c r="C7" s="31">
        <v>8.63969498227968</v>
      </c>
      <c r="D7" s="32">
        <v>8.715851912408587</v>
      </c>
      <c r="E7" s="31">
        <v>8.7920088425375</v>
      </c>
      <c r="F7" s="31">
        <v>8.868165772666407</v>
      </c>
    </row>
    <row r="8" spans="1:6" x14ac:dyDescent="0.25">
      <c r="A8" s="30">
        <v>0.091915</v>
      </c>
      <c r="B8" s="31">
        <v>6.175684739526752</v>
      </c>
      <c r="C8" s="31">
        <v>6.240803461464671</v>
      </c>
      <c r="D8" s="31">
        <v>6.305922183402582</v>
      </c>
      <c r="E8" s="31">
        <v>6.371040905340504</v>
      </c>
      <c r="F8" s="31">
        <v>6.4361596272784185</v>
      </c>
    </row>
    <row r="9" spans="1:6" x14ac:dyDescent="0.25">
      <c r="A9" s="30">
        <v>0.101915</v>
      </c>
      <c r="B9" s="31">
        <v>4.257960470411564</v>
      </c>
      <c r="C9" s="31">
        <v>4.314329098857533</v>
      </c>
      <c r="D9" s="31">
        <v>4.370697727303504</v>
      </c>
      <c r="E9" s="31">
        <v>4.427066355749473</v>
      </c>
      <c r="F9" s="31">
        <v>4.483434984195442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2729296000</v>
      </c>
      <c r="C5" s="18">
        <v>2618942000</v>
      </c>
      <c r="D5" s="18">
        <v>2432278000</v>
      </c>
      <c r="E5" s="18">
        <v>2238121000</v>
      </c>
      <c r="F5" s="8" t="s">
        <v>84</v>
      </c>
    </row>
    <row r="6" spans="1:6" x14ac:dyDescent="0.25">
      <c r="A6" t="s">
        <v>44</v>
      </c>
      <c r="B6" s="18">
        <v>752396000</v>
      </c>
      <c r="C6" s="18">
        <v>741241000</v>
      </c>
      <c r="D6" s="18">
        <v>699503000</v>
      </c>
      <c r="E6" s="18">
        <v>651695000</v>
      </c>
      <c r="F6" s="8" t="s">
        <v>85</v>
      </c>
    </row>
    <row r="7" spans="1:6" x14ac:dyDescent="0.25">
      <c r="A7" t="s">
        <v>86</v>
      </c>
      <c r="B7" s="18">
        <v>746933000</v>
      </c>
      <c r="C7" s="18">
        <v>714326000</v>
      </c>
      <c r="D7" s="18">
        <v>674287000</v>
      </c>
      <c r="E7" s="18">
        <v>638114000</v>
      </c>
      <c r="F7" s="8" t="s">
        <v>87</v>
      </c>
    </row>
    <row r="8" spans="1:6" x14ac:dyDescent="0.25">
      <c r="A8" t="s">
        <v>88</v>
      </c>
      <c r="B8" s="18">
        <v>242752000</v>
      </c>
      <c r="C8" s="18">
        <v>219394000</v>
      </c>
      <c r="D8" s="18">
        <v>221102000</v>
      </c>
      <c r="E8" s="18">
        <v>208070000</v>
      </c>
      <c r="F8" s="8" t="s">
        <v>89</v>
      </c>
    </row>
    <row r="9" spans="1:6" x14ac:dyDescent="0.25">
      <c r="A9" t="s">
        <v>90</v>
      </c>
      <c r="B9" s="18">
        <v>-17591000</v>
      </c>
      <c r="C9" s="18">
        <v>-20892000</v>
      </c>
      <c r="D9" s="18">
        <v>-11965000</v>
      </c>
      <c r="E9" s="18">
        <v>10387000</v>
      </c>
      <c r="F9" s="8" t="s">
        <v>91</v>
      </c>
    </row>
    <row r="10" spans="1:6" x14ac:dyDescent="0.25">
      <c r="A10" t="s">
        <v>92</v>
      </c>
      <c r="B10" s="18">
        <v>8380020000</v>
      </c>
      <c r="C10" s="18">
        <v>8202302000</v>
      </c>
      <c r="D10" s="18">
        <v>8546052000</v>
      </c>
      <c r="E10" s="18">
        <v>7769077000</v>
      </c>
      <c r="F10" s="8" t="s">
        <v>93</v>
      </c>
    </row>
    <row r="11" spans="1:6" x14ac:dyDescent="0.25">
      <c r="A11" t="s">
        <v>94</v>
      </c>
      <c r="B11" s="18">
        <v>129971000</v>
      </c>
      <c r="C11" s="18">
        <v>174491000</v>
      </c>
      <c r="D11" s="18">
        <v>700618000</v>
      </c>
      <c r="E11" s="18">
        <v>262870000</v>
      </c>
      <c r="F11" s="8" t="s">
        <v>95</v>
      </c>
    </row>
    <row r="12" spans="1:6" x14ac:dyDescent="0.25">
      <c r="A12" t="s">
        <v>32</v>
      </c>
      <c r="B12" s="34">
        <v>613177806</v>
      </c>
      <c r="C12" s="34">
        <v>613631617</v>
      </c>
      <c r="D12" s="34">
        <v>613288708</v>
      </c>
      <c r="E12" s="34">
        <v>611112396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