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<sst xmlns="http://schemas.openxmlformats.org/spreadsheetml/2006/main" count="114" uniqueCount="102">
  <si>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Investec Group (INVP.L)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</si>
  <si>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</si>
  <si>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</si>
  <si>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</si>
  <si>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</si>
  <si>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</si>
  <si>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</si>
  <si>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</si>
  <si>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</si>
  <si>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</si>
  <si>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</si>
  <si>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</si>
  <si>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</si>
  <si>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</si>
  <si>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</si>
  <si>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</si>
  <si>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</si>
  <si>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</si>
  <si>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</si>
  <si>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</si>
  <si>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</si>
  <si>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</si>
  <si>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99.4% is not a credible funding cost, so risk-free + 2bp is assumed instead. Interest expense and reported debt are measuring different things - common for banks, whose interest expense includes deposits that total debt excludes.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</si>
  <si>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</si>
  <si>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</si>
  <si>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</si>
  <si>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</si>
  <si>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</si>
  <si>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</si>
  <si>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</si>
  <si>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2026-03-31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</si>
  <si>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</si>
  <si>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</si>
  <si>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</si>
  <si>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</si>
  <si>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</si>
  <si>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</si>
  <si>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</si>
  <si>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</si>
  <si>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</si>
  <si>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</si>
  <si>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</si>
  <si>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</si>
  <si>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</si>
  <si>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</si>
  <si>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</si>
  <si>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</si>
  <si>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</si>
  <si>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</si>
  <si>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</si>
  <si>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</si>
  <si>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</si>
  <si>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</si>
  <si>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</si>
  <si>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</si>
  <si>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</si>
  <si>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</si>
  <si>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</si>
  <si>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</si>
  <si>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</si>
  <si>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</si>
  <si>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</si>
  <si>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</si>
  <si>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</si>
  <si>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</si>
  <si>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</si>
  <si>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</si>
  <si>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</si>
  <si>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</si>
  <si>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</si>
  <si>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</si>
  <si>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</si>
  <si>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</si>
  <si>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</si>
  <si>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</si>
  <si>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</si>
  <si>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</si>
  <si>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</si>
  <si>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</si>
  <si>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</si>
  <si>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</si>
  <si>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</si>
  <si>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</si>
  <si>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</si>
  <si>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</si>
  <si>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</si>
  <si>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</si>
  <si>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</si>
  <si>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</si>
  <si>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</si>
  <si>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</si>
  <si>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</si>
  <si>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</si>
  <si>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</si>
  <si>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</si>
  <si>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</si>
  <si>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</si>
  <si>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</si>
  <si>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</si>
  <si>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GBP assumption - no free live source available for this market.</t>
  </si>
  <si>
    <t>Current EV/EBITDA of 1.9x sits outside a defensible 3-20x band, so the exit multiple is capped at 3.0x. A multiple that far out usually means EBITDA is the wrong denominator for this business.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</si>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</sst>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0.05197467817684265</v>
      </c>
    </row>
    <row r="7" spans="1:2" x14ac:dyDescent="0.25">
      <c r="A7" t="s">
        <v>5</v>
      </c>
      <c r="B7" s="6">
        <v>0.4270331909491027</v>
      </c>
    </row>
    <row r="8" spans="1:2" x14ac:dyDescent="0.25">
      <c r="A8" t="s">
        <v>6</v>
      </c>
      <c r="B8" s="6">
        <v>0.1962111497695916</v>
      </c>
    </row>
    <row r="9" spans="1:2" x14ac:dyDescent="0.25">
      <c r="A9" t="s">
        <v>7</v>
      </c>
      <c r="B9" s="6">
        <v>0.020666514954613757</v>
      </c>
    </row>
    <row r="10" spans="1:2" x14ac:dyDescent="0.25">
      <c r="A10" t="s">
        <v>8</v>
      </c>
      <c r="B10" s="6">
        <v>0.015180965759685944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0.08747744122551777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0.60805</v>
      </c>
      <c r="C19" s="8" t="s">
        <v>19</v>
      </c>
    </row>
    <row r="20" spans="1:2" x14ac:dyDescent="0.25">
      <c r="A20" t="s">
        <v>20</v>
      </c>
      <c r="B20" s="10">
        <f>B17+B19*B18</f>
        <v>0.07844275</v>
      </c>
    </row>
    <row r="21" spans="1:3" x14ac:dyDescent="0.25">
      <c r="A21" t="s">
        <v>21</v>
      </c>
      <c r="B21" s="6">
        <v>0.065</v>
      </c>
      <c r="C21" s="8" t="s">
        <v>22</v>
      </c>
    </row>
    <row r="22" spans="1:2" x14ac:dyDescent="0.25">
      <c r="A22" t="s">
        <v>23</v>
      </c>
      <c r="B22" s="11">
        <v>4041127936</v>
      </c>
    </row>
    <row r="23" spans="1:2" x14ac:dyDescent="0.25">
      <c r="A23" t="s">
        <v>24</v>
      </c>
      <c r="B23" s="11">
        <v>2550051000</v>
      </c>
    </row>
    <row r="24" spans="1:2" x14ac:dyDescent="0.25">
      <c r="A24" t="s">
        <v>25</v>
      </c>
      <c r="B24" s="10">
        <f>B22/(B22+B23)</f>
        <v>0.6131115503370701</v>
      </c>
    </row>
    <row r="25" spans="1:2" x14ac:dyDescent="0.25">
      <c r="A25" t="s">
        <v>26</v>
      </c>
      <c r="B25" s="10">
        <f>1-B24</f>
        <v>0.3868884496629299</v>
      </c>
    </row>
    <row r="26" spans="1:2" x14ac:dyDescent="0.25">
      <c r="A26" t="s">
        <v>27</v>
      </c>
      <c r="B26" s="12">
        <f>B24*B20+B25*B21*(1-B8)</f>
        <v>0.06830763650313267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2190510000</v>
      </c>
      <c r="C29" s="8" t="s">
        <v>30</v>
      </c>
    </row>
    <row r="30" spans="1:2" x14ac:dyDescent="0.25">
      <c r="A30" t="s">
        <v>31</v>
      </c>
      <c r="B30" s="11">
        <v>-2237673000</v>
      </c>
    </row>
    <row r="31" spans="1:2" x14ac:dyDescent="0.25">
      <c r="A31" t="s">
        <v>32</v>
      </c>
      <c r="B31" s="13">
        <v>850306638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0.05197467817684265</v>
      </c>
      <c r="C5" s="10">
        <f>Assumptions!B6</f>
        <v>0.05197467817684265</v>
      </c>
      <c r="D5" s="10">
        <f>Assumptions!B6</f>
        <v>0.05197467817684265</v>
      </c>
      <c r="E5" s="10">
        <f>Assumptions!B6</f>
        <v>0.05197467817684265</v>
      </c>
      <c r="F5" s="10">
        <f>Assumptions!B6</f>
        <v>0.05197467817684265</v>
      </c>
    </row>
    <row r="6" spans="1:6" x14ac:dyDescent="0.25">
      <c r="A6" t="s">
        <v>43</v>
      </c>
      <c r="B6" s="18">
        <f>Assumptions!B29*(1+B5)</f>
        <v>2304361052.2931557</v>
      </c>
      <c r="C6" s="18">
        <f>B6*(1+C5)</f>
        <v>2424129476.389343</v>
      </c>
      <c r="D6" s="18">
        <f>C6*(1+D5)</f>
        <v>2550122825.783677</v>
      </c>
      <c r="E6" s="18">
        <f>D6*(1+E5)</f>
        <v>2682664638.9652042</v>
      </c>
      <c r="F6" s="18">
        <f>E6*(1+F5)</f>
        <v>2822095270.2318163</v>
      </c>
    </row>
    <row r="7" spans="1:6" x14ac:dyDescent="0.25">
      <c r="A7" t="s">
        <v>5</v>
      </c>
      <c r="B7" s="10">
        <f>Assumptions!B7</f>
        <v>0.4270331909491027</v>
      </c>
      <c r="C7" s="10">
        <f>Assumptions!B7</f>
        <v>0.4270331909491027</v>
      </c>
      <c r="D7" s="10">
        <f>Assumptions!B7</f>
        <v>0.4270331909491027</v>
      </c>
      <c r="E7" s="10">
        <f>Assumptions!B7</f>
        <v>0.4270331909491027</v>
      </c>
      <c r="F7" s="10">
        <f>Assumptions!B7</f>
        <v>0.4270331909491027</v>
      </c>
    </row>
    <row r="8" spans="1:6" x14ac:dyDescent="0.25">
      <c r="A8" t="s">
        <v>44</v>
      </c>
      <c r="B8" s="18">
        <f>B6*B7</f>
        <v>984038653.2595783</v>
      </c>
      <c r="C8" s="18">
        <f>C6*C7</f>
        <v>1035183745.5763185</v>
      </c>
      <c r="D8" s="18">
        <f>D6*D7</f>
        <v>1088987087.6065464</v>
      </c>
      <c r="E8" s="18">
        <f>E6*E7</f>
        <v>1145586841.0236337</v>
      </c>
      <c r="F8" s="18">
        <f>F6*F7</f>
        <v>1205128348.4094627</v>
      </c>
    </row>
    <row r="9" spans="1:6" x14ac:dyDescent="0.25">
      <c r="A9" t="s">
        <v>45</v>
      </c>
      <c r="B9" s="18">
        <f>B8*(1-Assumptions!B8)</f>
        <v>790959297.685796</v>
      </c>
      <c r="C9" s="18">
        <f>C8*(1-Assumptions!B8)</f>
        <v>832069152.6339967</v>
      </c>
      <c r="D9" s="18">
        <f>D8*(1-Assumptions!B8)</f>
        <v>875315679.063027</v>
      </c>
      <c r="E9" s="18">
        <f>E8*(1-Assumptions!B8)</f>
        <v>920809929.7854723</v>
      </c>
      <c r="F9" s="18">
        <f>F8*(1-Assumptions!B8)</f>
        <v>968668729.5481131</v>
      </c>
    </row>
    <row r="10" spans="1:6" x14ac:dyDescent="0.25">
      <c r="A10" t="s">
        <v>46</v>
      </c>
      <c r="B10" s="18">
        <f>B6*Assumptions!B9</f>
        <v>47623112.148045994</v>
      </c>
      <c r="C10" s="18">
        <f>C6*Assumptions!B9</f>
        <v>50098308.07572037</v>
      </c>
      <c r="D10" s="18">
        <f>D6*Assumptions!B9</f>
        <v>52702151.515160255</v>
      </c>
      <c r="E10" s="18">
        <f>E6*Assumptions!B9</f>
        <v>55441328.87938791</v>
      </c>
      <c r="F10" s="18">
        <f>F6*Assumptions!B9</f>
        <v>58322874.10559058</v>
      </c>
    </row>
    <row r="11" spans="1:6" x14ac:dyDescent="0.25">
      <c r="A11" t="s">
        <v>47</v>
      </c>
      <c r="B11" s="18">
        <f>-B6*Assumptions!B10</f>
        <v>-34982426.232816264</v>
      </c>
      <c r="C11" s="18">
        <f>-C6*Assumptions!B10</f>
        <v>-36800626.57811203</v>
      </c>
      <c r="D11" s="18">
        <f>-D6*Assumptions!B10</f>
        <v>-38713327.30121557</v>
      </c>
      <c r="E11" s="18">
        <f>-E6*Assumptions!B10</f>
        <v>-40725440.02885102</v>
      </c>
      <c r="F11" s="18">
        <f>-F6*Assumptions!B10</f>
        <v>-42842131.66796085</v>
      </c>
    </row>
    <row r="12" spans="1:6" x14ac:dyDescent="0.25">
      <c r="A12" t="s">
        <v>48</v>
      </c>
      <c r="B12" s="18">
        <f>-(B6-Assumptions!B29)*Assumptions!B11</f>
        <v>-113851052.29315567</v>
      </c>
      <c r="C12" s="18">
        <f>-(C6-B6)*Assumptions!B11</f>
        <v>-119768424.09618711</v>
      </c>
      <c r="D12" s="18">
        <f>-(D6-C6)*Assumptions!B11</f>
        <v>-125993349.39433432</v>
      </c>
      <c r="E12" s="18">
        <f>-(E6-D6)*Assumptions!B11</f>
        <v>-132541813.18152714</v>
      </c>
      <c r="F12" s="18">
        <f>-(F6-E6)*Assumptions!B11</f>
        <v>-139430631.26661205</v>
      </c>
    </row>
    <row r="13" spans="1:6" x14ac:dyDescent="0.25">
      <c r="A13" s="19" t="s">
        <v>49</v>
      </c>
      <c r="B13" s="20">
        <f>B9+B10+B11+B12</f>
        <v>689748931.3078701</v>
      </c>
      <c r="C13" s="20">
        <f>C9+C10+C11+C12</f>
        <v>725598410.0354179</v>
      </c>
      <c r="D13" s="20">
        <f>D9+D10+D11+D12</f>
        <v>763311153.8826374</v>
      </c>
      <c r="E13" s="20">
        <f>E9+E10+E11+E12</f>
        <v>802984005.454482</v>
      </c>
      <c r="F13" s="20">
        <f>F9+F10+F11+F12</f>
        <v>844718840.7191308</v>
      </c>
    </row>
    <row r="14" spans="1:6" x14ac:dyDescent="0.25">
      <c r="A14" t="s">
        <v>50</v>
      </c>
      <c r="B14" s="21">
        <f>1/(1+Assumptions!$B$26)^(1-0.5*Assumptions!$B$32)</f>
        <v>0.9675019156211081</v>
      </c>
      <c r="C14" s="21">
        <f>1/(1+Assumptions!$B$26)^(2-0.5*Assumptions!$B$32)</f>
        <v>0.9056398012729837</v>
      </c>
      <c r="D14" s="21">
        <f>1/(1+Assumptions!$B$26)^(3-0.5*Assumptions!$B$32)</f>
        <v>0.8477331531930205</v>
      </c>
      <c r="E14" s="21">
        <f>1/(1+Assumptions!$B$26)^(4-0.5*Assumptions!$B$32)</f>
        <v>0.7935290586968807</v>
      </c>
      <c r="F14" s="21">
        <f>1/(1+Assumptions!$B$26)^(5-0.5*Assumptions!$B$32)</f>
        <v>0.7427907763482077</v>
      </c>
    </row>
    <row r="15" spans="1:6" x14ac:dyDescent="0.25">
      <c r="A15" s="19" t="s">
        <v>51</v>
      </c>
      <c r="B15" s="20">
        <f>B13*B14</f>
        <v>667333412.3379765</v>
      </c>
      <c r="C15" s="20">
        <f>C13*C14</f>
        <v>657130799.8684689</v>
      </c>
      <c r="D15" s="20">
        <f>D13*D14</f>
        <v>647084171.3483311</v>
      </c>
      <c r="E15" s="20">
        <f>E13*E14</f>
        <v>637191141.996946</v>
      </c>
      <c r="F15" s="20">
        <f>F13*F14</f>
        <v>627449363.4937211</v>
      </c>
    </row>
    <row r="17" spans="1:2" x14ac:dyDescent="0.25">
      <c r="A17" s="22" t="s">
        <v>52</v>
      </c>
      <c r="B17" s="23">
        <f>SUM(B15:F15)</f>
        <v>3236188889.045443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844718840.7191308</v>
      </c>
    </row>
    <row r="5" spans="1:2" x14ac:dyDescent="0.25">
      <c r="A5" t="s">
        <v>56</v>
      </c>
      <c r="B5" s="18">
        <f>IF(Assumptions!$B$33=0,B4,B4-Forecast!F11-Forecast!F10-Forecast!F12)</f>
        <v>975955234.6928602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0.28578796601457207</v>
      </c>
    </row>
    <row r="7" spans="1:2" x14ac:dyDescent="0.25">
      <c r="A7" t="s">
        <v>58</v>
      </c>
      <c r="B7" s="18">
        <f>-MAX(Forecast!F9,0)*B6</f>
        <v>-278916261.4441469</v>
      </c>
    </row>
    <row r="8" spans="1:2" x14ac:dyDescent="0.25">
      <c r="A8" t="s">
        <v>59</v>
      </c>
      <c r="B8" s="18">
        <f>IF(OR(Assumptions!$B$33=0,Assumptions!B12&lt;=0),B5,MAX(B5+B7,0))</f>
        <v>697038973.2487134</v>
      </c>
    </row>
    <row r="9" spans="1:2" x14ac:dyDescent="0.25">
      <c r="A9" t="s">
        <v>60</v>
      </c>
      <c r="B9" s="18">
        <f>B8*(1+Assumptions!B12)/(Assumptions!B26-Assumptions!B12)</f>
        <v>16497435678.076088</v>
      </c>
    </row>
    <row r="10" spans="1:2" x14ac:dyDescent="0.25">
      <c r="A10" t="s">
        <v>61</v>
      </c>
      <c r="B10" s="18">
        <f>B9/(1+Assumptions!B26)^(5-0.5*Assumptions!B32)</f>
        <v>12254143055.072758</v>
      </c>
    </row>
    <row r="11" spans="1:2" x14ac:dyDescent="0.25">
      <c r="A11" t="s">
        <v>62</v>
      </c>
      <c r="B11" s="18">
        <f>Forecast!B17+B10</f>
        <v>15490331944.1182</v>
      </c>
    </row>
    <row r="12" spans="1:2" x14ac:dyDescent="0.25">
      <c r="A12" t="s">
        <v>63</v>
      </c>
      <c r="B12" s="18">
        <f>-Assumptions!B30</f>
        <v>2237673000.000002</v>
      </c>
    </row>
    <row r="13" spans="1:2" x14ac:dyDescent="0.25">
      <c r="A13" t="s">
        <v>64</v>
      </c>
      <c r="B13" s="18">
        <f>B11+B12</f>
        <v>17728004944.118202</v>
      </c>
    </row>
    <row r="14" spans="1:2" x14ac:dyDescent="0.25">
      <c r="A14" s="19" t="s">
        <v>65</v>
      </c>
      <c r="B14" s="24">
        <f>B13/Assumptions!B31</f>
        <v>20.84895513201698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1263451222.5150533</v>
      </c>
    </row>
    <row r="18" spans="1:2" x14ac:dyDescent="0.25">
      <c r="A18" t="s">
        <v>60</v>
      </c>
      <c r="B18" s="18">
        <f>B17*Assumptions!B13</f>
        <v>3790353667.54516</v>
      </c>
    </row>
    <row r="19" spans="1:2" x14ac:dyDescent="0.25">
      <c r="A19" t="s">
        <v>61</v>
      </c>
      <c r="B19" s="18">
        <f>B18/(1+Assumptions!B26)^(5-0.5*Assumptions!B32)</f>
        <v>2815439743.3501453</v>
      </c>
    </row>
    <row r="20" spans="1:2" x14ac:dyDescent="0.25">
      <c r="A20" t="s">
        <v>62</v>
      </c>
      <c r="B20" s="18">
        <f>Forecast!B17+B19</f>
        <v>6051628632.395588</v>
      </c>
    </row>
    <row r="21" spans="1:2" x14ac:dyDescent="0.25">
      <c r="A21" t="s">
        <v>63</v>
      </c>
      <c r="B21" s="18">
        <f>-Assumptions!B30</f>
        <v>2237673000</v>
      </c>
    </row>
    <row r="22" spans="1:2" x14ac:dyDescent="0.25">
      <c r="A22" t="s">
        <v>64</v>
      </c>
      <c r="B22" s="18">
        <f>B20+B21</f>
        <v>8289301632.395588</v>
      </c>
    </row>
    <row r="23" spans="1:2" x14ac:dyDescent="0.25">
      <c r="A23" s="19" t="s">
        <v>65</v>
      </c>
      <c r="B23" s="25">
        <f>B22/Assumptions!B31</f>
        <v>9.748602753346479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644.5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2084.8955132016977</v>
      </c>
    </row>
    <row r="29" spans="1:2" x14ac:dyDescent="0.25">
      <c r="A29" s="19" t="s">
        <v>73</v>
      </c>
      <c r="B29" s="12">
        <f>B28/B26-1</f>
        <v>2.2349038218800583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0.048308</v>
      </c>
      <c r="B5" s="31">
        <v>30.056478591092095</v>
      </c>
      <c r="C5" s="31">
        <v>32.420037927863156</v>
      </c>
      <c r="D5" s="31">
        <v>35.77488957010262</v>
      </c>
      <c r="E5" s="31">
        <v>40.93321314322158</v>
      </c>
      <c r="F5" s="31">
        <v>49.92777682900484</v>
      </c>
    </row>
    <row r="6" spans="1:6" x14ac:dyDescent="0.25">
      <c r="A6" s="30">
        <v>0.058308</v>
      </c>
      <c r="B6" s="31">
        <v>23.797761454252193</v>
      </c>
      <c r="C6" s="31">
        <v>24.794522280658427</v>
      </c>
      <c r="D6" s="31">
        <v>26.07527630080422</v>
      </c>
      <c r="E6" s="31">
        <v>27.790507402851702</v>
      </c>
      <c r="F6" s="31">
        <v>30.219825859176243</v>
      </c>
    </row>
    <row r="7" spans="1:6" x14ac:dyDescent="0.25">
      <c r="A7" s="30">
        <v>0.068308</v>
      </c>
      <c r="B7" s="31">
        <v>19.8868404425087</v>
      </c>
      <c r="C7" s="31">
        <v>20.32308524418807</v>
      </c>
      <c r="D7" s="32">
        <v>20.848808909162962</v>
      </c>
      <c r="E7" s="31">
        <v>21.499048060317197</v>
      </c>
      <c r="F7" s="31">
        <v>22.329877283116424</v>
      </c>
    </row>
    <row r="8" spans="1:6" x14ac:dyDescent="0.25">
      <c r="A8" s="30">
        <v>0.078308</v>
      </c>
      <c r="B8" s="31">
        <v>17.211177384940857</v>
      </c>
      <c r="C8" s="31">
        <v>17.383071742508726</v>
      </c>
      <c r="D8" s="31">
        <v>17.578445776599647</v>
      </c>
      <c r="E8" s="31">
        <v>17.80459010466511</v>
      </c>
      <c r="F8" s="31">
        <v>18.072162212842024</v>
      </c>
    </row>
    <row r="9" spans="1:6" x14ac:dyDescent="0.25">
      <c r="A9" s="30">
        <v>0.088308</v>
      </c>
      <c r="B9" s="31">
        <v>15.282793785841763</v>
      </c>
      <c r="C9" s="31">
        <v>15.327199727748027</v>
      </c>
      <c r="D9" s="31">
        <v>15.371605669654286</v>
      </c>
      <c r="E9" s="31">
        <v>15.416011611560547</v>
      </c>
      <c r="F9" s="31">
        <v>15.460417553466804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2190510000</v>
      </c>
      <c r="C5" s="18">
        <v>2114727000</v>
      </c>
      <c r="D5" s="18">
        <v>1990462000</v>
      </c>
      <c r="E5" s="18">
        <v>1881609000</v>
      </c>
      <c r="F5" s="8" t="s">
        <v>84</v>
      </c>
    </row>
    <row r="6" spans="1:6" x14ac:dyDescent="0.25">
      <c r="A6" t="s">
        <v>44</v>
      </c>
      <c r="B6" s="18">
        <v>901831000</v>
      </c>
      <c r="C6" s="18">
        <v>863148000</v>
      </c>
      <c r="D6" s="18">
        <v>822498000</v>
      </c>
      <c r="E6" s="18">
        <v>893865000</v>
      </c>
      <c r="F6" s="8" t="s">
        <v>85</v>
      </c>
    </row>
    <row r="7" spans="1:6" x14ac:dyDescent="0.25">
      <c r="A7" t="s">
        <v>86</v>
      </c>
      <c r="B7" s="18">
        <v>29351000</v>
      </c>
      <c r="C7" s="18">
        <v>33087000</v>
      </c>
      <c r="D7" s="18">
        <v>44753000</v>
      </c>
      <c r="E7" s="18">
        <v>58588000</v>
      </c>
      <c r="F7" s="8" t="s">
        <v>87</v>
      </c>
    </row>
    <row r="8" spans="1:6" x14ac:dyDescent="0.25">
      <c r="A8" t="s">
        <v>88</v>
      </c>
      <c r="B8" s="18">
        <v>59205000</v>
      </c>
      <c r="C8" s="18">
        <v>16994000</v>
      </c>
      <c r="D8" s="18">
        <v>18983000</v>
      </c>
      <c r="E8" s="18">
        <v>30337000</v>
      </c>
      <c r="F8" s="8" t="s">
        <v>89</v>
      </c>
    </row>
    <row r="9" spans="1:6" x14ac:dyDescent="0.25">
      <c r="A9" t="s">
        <v>90</v>
      </c>
      <c r="B9" s="18">
        <v>1214394000</v>
      </c>
      <c r="C9" s="18">
        <v>1537024000</v>
      </c>
      <c r="D9" s="18">
        <v>686970000</v>
      </c>
      <c r="E9" s="18">
        <v>415320000</v>
      </c>
      <c r="F9" s="8" t="s">
        <v>91</v>
      </c>
    </row>
    <row r="10" spans="1:6" x14ac:dyDescent="0.25">
      <c r="A10" t="s">
        <v>92</v>
      </c>
      <c r="B10" s="18">
        <v>2550051000</v>
      </c>
      <c r="C10" s="18">
        <v>2563527000</v>
      </c>
      <c r="D10" s="18">
        <v>2514000000</v>
      </c>
      <c r="E10" s="18">
        <v>3214600000</v>
      </c>
      <c r="F10" s="8" t="s">
        <v>93</v>
      </c>
    </row>
    <row r="11" spans="1:6" x14ac:dyDescent="0.25">
      <c r="A11" t="s">
        <v>94</v>
      </c>
      <c r="B11" s="18">
        <v>4787724000</v>
      </c>
      <c r="C11" s="18">
        <v>5523118000</v>
      </c>
      <c r="D11" s="18">
        <v>6739647000</v>
      </c>
      <c r="E11" s="18">
        <v>6904669000</v>
      </c>
      <c r="F11" s="8" t="s">
        <v>95</v>
      </c>
    </row>
    <row r="12" spans="1:6" x14ac:dyDescent="0.25">
      <c r="A12" t="s">
        <v>32</v>
      </c>
      <c r="B12" s="34">
        <v>850306638</v>
      </c>
      <c r="C12" s="34">
        <v>886105263</v>
      </c>
      <c r="D12" s="34">
        <v>883132673</v>
      </c>
      <c r="E12" s="34">
        <v>926601212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2026-09-19T00:08:08Z</dcterms:modified>
</cp:coreProperties>
</file>