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<sst xmlns="http://schemas.openxmlformats.org/spreadsheetml/2006/main" count="112" uniqueCount="100">
  <si>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Infrastrutture Wireless Italiane S.p.A. (INW.MI)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</si>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</sst>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0.08088376258184415</v>
      </c>
    </row>
    <row r="7" spans="1:2" x14ac:dyDescent="0.25">
      <c r="A7" t="s">
        <v>5</v>
      </c>
      <c r="B7" s="6">
        <v>0.5311749705168729</v>
      </c>
    </row>
    <row r="8" spans="1:2" x14ac:dyDescent="0.25">
      <c r="A8" t="s">
        <v>6</v>
      </c>
      <c r="B8" s="6">
        <v>0.1541837251395516</v>
      </c>
    </row>
    <row r="9" spans="1:2" x14ac:dyDescent="0.25">
      <c r="A9" t="s">
        <v>7</v>
      </c>
      <c r="B9" s="6">
        <v>0.38586302075544066</v>
      </c>
    </row>
    <row r="10" spans="1:2" x14ac:dyDescent="0.25">
      <c r="A10" t="s">
        <v>8</v>
      </c>
      <c r="B10" s="6">
        <v>0.2898103382155641</v>
      </c>
    </row>
    <row r="11" spans="1:2" x14ac:dyDescent="0.25">
      <c r="A11" t="s">
        <v>9</v>
      </c>
      <c r="B11" s="6">
        <v>-0.7005130449582999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11.158911979846513</v>
      </c>
    </row>
    <row r="14" spans="1:3" x14ac:dyDescent="0.25">
      <c r="A14" t="s">
        <v>12</v>
      </c>
      <c r="B14" s="6">
        <v>0.06913007494171422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0.88476</v>
      </c>
      <c r="C19" s="8" t="s">
        <v>19</v>
      </c>
    </row>
    <row r="20" spans="1:2" x14ac:dyDescent="0.25">
      <c r="A20" t="s">
        <v>20</v>
      </c>
      <c r="B20" s="10">
        <f>B17+B19*B18</f>
        <v>0.0995094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5879727104</v>
      </c>
    </row>
    <row r="23" spans="1:2" x14ac:dyDescent="0.25">
      <c r="A23" t="s">
        <v>24</v>
      </c>
      <c r="B23" s="11">
        <v>5315219000</v>
      </c>
    </row>
    <row r="24" spans="1:2" x14ac:dyDescent="0.25">
      <c r="A24" t="s">
        <v>25</v>
      </c>
      <c r="B24" s="10">
        <f>B22/(B22+B23)</f>
        <v>0.5252126316087533</v>
      </c>
    </row>
    <row r="25" spans="1:2" x14ac:dyDescent="0.25">
      <c r="A25" t="s">
        <v>26</v>
      </c>
      <c r="B25" s="10">
        <f>1-B24</f>
        <v>0.4747873683912467</v>
      </c>
    </row>
    <row r="26" spans="1:2" x14ac:dyDescent="0.25">
      <c r="A26" t="s">
        <v>27</v>
      </c>
      <c r="B26" s="12">
        <f>B24*B20+B25*B21*(1-B8)</f>
        <v>0.06913007494171422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1077163000</v>
      </c>
      <c r="C29" s="8" t="s">
        <v>30</v>
      </c>
    </row>
    <row r="30" spans="1:2" x14ac:dyDescent="0.25">
      <c r="A30" t="s">
        <v>31</v>
      </c>
      <c r="B30" s="11">
        <v>5105608000</v>
      </c>
    </row>
    <row r="31" spans="1:2" x14ac:dyDescent="0.25">
      <c r="A31" t="s">
        <v>32</v>
      </c>
      <c r="B31" s="13">
        <v>919910941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0.08088376258184415</v>
      </c>
      <c r="C5" s="10">
        <f>Assumptions!B6</f>
        <v>0.08088376258184415</v>
      </c>
      <c r="D5" s="10">
        <f>Assumptions!B6</f>
        <v>0.08088376258184415</v>
      </c>
      <c r="E5" s="10">
        <f>Assumptions!B6</f>
        <v>0.08088376258184415</v>
      </c>
      <c r="F5" s="10">
        <f>Assumptions!B6</f>
        <v>0.08088376258184415</v>
      </c>
    </row>
    <row r="6" spans="1:6" x14ac:dyDescent="0.25">
      <c r="A6" t="s">
        <v>43</v>
      </c>
      <c r="B6" s="18">
        <f>Assumptions!B29*(1+B5)</f>
        <v>1164287996.353947</v>
      </c>
      <c r="C6" s="18">
        <f>B6*(1+C5)</f>
        <v>1258459990.2279305</v>
      </c>
      <c r="D6" s="18">
        <f>C6*(1+D5)</f>
        <v>1360248969.2962763</v>
      </c>
      <c r="E6" s="18">
        <f>D6*(1+E5)</f>
        <v>1470271023.9810345</v>
      </c>
      <c r="F6" s="18">
        <f>E6*(1+F5)</f>
        <v>1589192076.4156814</v>
      </c>
    </row>
    <row r="7" spans="1:6" x14ac:dyDescent="0.25">
      <c r="A7" t="s">
        <v>5</v>
      </c>
      <c r="B7" s="10">
        <f>Assumptions!B7</f>
        <v>0.5311749705168729</v>
      </c>
      <c r="C7" s="10">
        <f>Assumptions!B7</f>
        <v>0.5311749705168729</v>
      </c>
      <c r="D7" s="10">
        <f>Assumptions!B7</f>
        <v>0.5311749705168729</v>
      </c>
      <c r="E7" s="10">
        <f>Assumptions!B7</f>
        <v>0.5311749705168729</v>
      </c>
      <c r="F7" s="10">
        <f>Assumptions!B7</f>
        <v>0.5311749705168729</v>
      </c>
    </row>
    <row r="8" spans="1:6" x14ac:dyDescent="0.25">
      <c r="A8" t="s">
        <v>44</v>
      </c>
      <c r="B8" s="18">
        <f>B6*B7</f>
        <v>618440642.1364567</v>
      </c>
      <c r="C8" s="18">
        <f>C6*C7</f>
        <v>668462448.2059852</v>
      </c>
      <c r="D8" s="18">
        <f>D6*D7</f>
        <v>722530206.1615564</v>
      </c>
      <c r="E8" s="18">
        <f>E6*E7</f>
        <v>780971167.8149385</v>
      </c>
      <c r="F8" s="18">
        <f>F6*F7</f>
        <v>844139054.3357476</v>
      </c>
    </row>
    <row r="9" spans="1:6" x14ac:dyDescent="0.25">
      <c r="A9" t="s">
        <v>45</v>
      </c>
      <c r="B9" s="18">
        <f>B8*(1-Assumptions!B8)</f>
        <v>523087160.1541615</v>
      </c>
      <c r="C9" s="18">
        <f>C8*(1-Assumptions!B8)</f>
        <v>565396417.8256818</v>
      </c>
      <c r="D9" s="18">
        <f>D8*(1-Assumptions!B8)</f>
        <v>611127807.4497194</v>
      </c>
      <c r="E9" s="18">
        <f>E8*(1-Assumptions!B8)</f>
        <v>660558123.9346454</v>
      </c>
      <c r="F9" s="18">
        <f>F8*(1-Assumptions!B8)</f>
        <v>713986550.4024837</v>
      </c>
    </row>
    <row r="10" spans="1:6" x14ac:dyDescent="0.25">
      <c r="A10" t="s">
        <v>46</v>
      </c>
      <c r="B10" s="18">
        <f>B6*Assumptions!B9</f>
        <v>449255683.30243343</v>
      </c>
      <c r="C10" s="18">
        <f>C6*Assumptions!B9</f>
        <v>485593173.3292116</v>
      </c>
      <c r="D10" s="18">
        <f>D6*Assumptions!B9</f>
        <v>524869776.27213585</v>
      </c>
      <c r="E10" s="18">
        <f>E6*Assumptions!B9</f>
        <v>567323218.6425169</v>
      </c>
      <c r="F10" s="18">
        <f>F6*Assumptions!B9</f>
        <v>613210455.1663659</v>
      </c>
    </row>
    <row r="11" spans="1:6" x14ac:dyDescent="0.25">
      <c r="A11" t="s">
        <v>47</v>
      </c>
      <c r="B11" s="18">
        <f>-B6*Assumptions!B10</f>
        <v>-337422698.00365883</v>
      </c>
      <c r="C11" s="18">
        <f>-C6*Assumptions!B10</f>
        <v>-364714715.3987121</v>
      </c>
      <c r="D11" s="18">
        <f>-D6*Assumptions!B10</f>
        <v>-394214213.84912634</v>
      </c>
      <c r="E11" s="18">
        <f>-E6*Assumptions!B10</f>
        <v>-426099742.72848743</v>
      </c>
      <c r="F11" s="18">
        <f>-F6*Assumptions!B10</f>
        <v>-460564293.15552324</v>
      </c>
    </row>
    <row r="12" spans="1:6" x14ac:dyDescent="0.25">
      <c r="A12" t="s">
        <v>48</v>
      </c>
      <c r="B12" s="18">
        <f>-(B6-Assumptions!B29)*Assumptions!B11</f>
        <v>61032196.487884134</v>
      </c>
      <c r="C12" s="18">
        <f>-(C6-B6)*Assumptions!B11</f>
        <v>65968710.17845863</v>
      </c>
      <c r="D12" s="18">
        <f>-(D6-C6)*Assumptions!B11</f>
        <v>71304507.67036356</v>
      </c>
      <c r="E12" s="18">
        <f>-(E6-D6)*Assumptions!B11</f>
        <v>77071884.53978854</v>
      </c>
      <c r="F12" s="18">
        <f>-(F6-E6)*Assumptions!B11</f>
        <v>83305748.5506401</v>
      </c>
    </row>
    <row r="13" spans="1:6" x14ac:dyDescent="0.25">
      <c r="A13" s="19" t="s">
        <v>49</v>
      </c>
      <c r="B13" s="20">
        <f>B9+B10+B11+B12</f>
        <v>695952341.9408203</v>
      </c>
      <c r="C13" s="20">
        <f>C9+C10+C11+C12</f>
        <v>752243585.9346399</v>
      </c>
      <c r="D13" s="20">
        <f>D9+D10+D11+D12</f>
        <v>813087877.5430924</v>
      </c>
      <c r="E13" s="20">
        <f>E9+E10+E11+E12</f>
        <v>878853484.3884633</v>
      </c>
      <c r="F13" s="20">
        <f>F9+F10+F11+F12</f>
        <v>949938460.9639664</v>
      </c>
    </row>
    <row r="14" spans="1:6" x14ac:dyDescent="0.25">
      <c r="A14" t="s">
        <v>50</v>
      </c>
      <c r="B14" s="21">
        <f>1/(1+Assumptions!$B$26)^(1-0.5*Assumptions!$B$32)</f>
        <v>0.9671297140203117</v>
      </c>
      <c r="C14" s="21">
        <f>1/(1+Assumptions!$B$26)^(2-0.5*Assumptions!$B$32)</f>
        <v>0.9045949942742343</v>
      </c>
      <c r="D14" s="21">
        <f>1/(1+Assumptions!$B$26)^(3-0.5*Assumptions!$B$32)</f>
        <v>0.8461037767771615</v>
      </c>
      <c r="E14" s="21">
        <f>1/(1+Assumptions!$B$26)^(4-0.5*Assumptions!$B$32)</f>
        <v>0.7913946082035794</v>
      </c>
      <c r="F14" s="21">
        <f>1/(1+Assumptions!$B$26)^(5-0.5*Assumptions!$B$32)</f>
        <v>0.7402229408303979</v>
      </c>
    </row>
    <row r="15" spans="1:6" x14ac:dyDescent="0.25">
      <c r="A15" s="19" t="s">
        <v>51</v>
      </c>
      <c r="B15" s="20">
        <f>B13*B14</f>
        <v>673076189.4329917</v>
      </c>
      <c r="C15" s="20">
        <f>C13*C14</f>
        <v>680475782.311375</v>
      </c>
      <c r="D15" s="20">
        <f>D13*D14</f>
        <v>687956724.0409367</v>
      </c>
      <c r="E15" s="20">
        <f>E13*E14</f>
        <v>695519908.9459585</v>
      </c>
      <c r="F15" s="20">
        <f>F13*F14</f>
        <v>703166241.1826493</v>
      </c>
    </row>
    <row r="17" spans="1:2" x14ac:dyDescent="0.25">
      <c r="A17" s="22" t="s">
        <v>52</v>
      </c>
      <c r="B17" s="23">
        <f>SUM(B15:F15)</f>
        <v>3440194845.913911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949938460.9639664</v>
      </c>
    </row>
    <row r="5" spans="1:2" x14ac:dyDescent="0.25">
      <c r="A5" t="s">
        <v>56</v>
      </c>
      <c r="B5" s="18">
        <f>IF(Assumptions!$B$33=0,B4,B4-Forecast!F11-Forecast!F10-Forecast!F12)</f>
        <v>825709644.8912374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0.3616371025357386</v>
      </c>
    </row>
    <row r="7" spans="1:2" x14ac:dyDescent="0.25">
      <c r="A7" t="s">
        <v>58</v>
      </c>
      <c r="B7" s="18">
        <f>-MAX(Forecast!F9,0)*B6</f>
        <v>-298607243.51428074</v>
      </c>
    </row>
    <row r="8" spans="1:2" x14ac:dyDescent="0.25">
      <c r="A8" t="s">
        <v>59</v>
      </c>
      <c r="B8" s="18">
        <f>IF(OR(Assumptions!$B$33=0,Assumptions!B12&lt;=0),B5,MAX(B5+B7,0))</f>
        <v>527102401.37695664</v>
      </c>
    </row>
    <row r="9" spans="1:2" x14ac:dyDescent="0.25">
      <c r="A9" t="s">
        <v>60</v>
      </c>
      <c r="B9" s="18">
        <f>B8*(1+Assumptions!B12)/(Assumptions!B26-Assumptions!B12)</f>
        <v>12242896984.08551</v>
      </c>
    </row>
    <row r="10" spans="1:2" x14ac:dyDescent="0.25">
      <c r="A10" t="s">
        <v>61</v>
      </c>
      <c r="B10" s="18">
        <f>B9/(1+Assumptions!B26)^(5-0.5*Assumptions!B32)</f>
        <v>9062473209.843386</v>
      </c>
    </row>
    <row r="11" spans="1:2" x14ac:dyDescent="0.25">
      <c r="A11" t="s">
        <v>62</v>
      </c>
      <c r="B11" s="18">
        <f>Forecast!B17+B10</f>
        <v>12502668055.757298</v>
      </c>
    </row>
    <row r="12" spans="1:2" x14ac:dyDescent="0.25">
      <c r="A12" t="s">
        <v>63</v>
      </c>
      <c r="B12" s="18">
        <f>-Assumptions!B30</f>
        <v>-5105608000</v>
      </c>
    </row>
    <row r="13" spans="1:2" x14ac:dyDescent="0.25">
      <c r="A13" t="s">
        <v>64</v>
      </c>
      <c r="B13" s="18">
        <f>B11+B12</f>
        <v>7397060055.7572975</v>
      </c>
    </row>
    <row r="14" spans="1:2" x14ac:dyDescent="0.25">
      <c r="A14" s="19" t="s">
        <v>65</v>
      </c>
      <c r="B14" s="24">
        <f>B13/Assumptions!B31</f>
        <v>8.04106107023386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1457349509.5021133</v>
      </c>
    </row>
    <row r="18" spans="1:2" x14ac:dyDescent="0.25">
      <c r="A18" t="s">
        <v>60</v>
      </c>
      <c r="B18" s="18">
        <f>B17*Assumptions!B13</f>
        <v>16262434900.406572</v>
      </c>
    </row>
    <row r="19" spans="1:2" x14ac:dyDescent="0.25">
      <c r="A19" t="s">
        <v>61</v>
      </c>
      <c r="B19" s="18">
        <f>B18/(1+Assumptions!B26)^(5-0.5*Assumptions!B32)</f>
        <v>12037827387.041851</v>
      </c>
    </row>
    <row r="20" spans="1:2" x14ac:dyDescent="0.25">
      <c r="A20" t="s">
        <v>62</v>
      </c>
      <c r="B20" s="18">
        <f>Forecast!B17+B19</f>
        <v>15478022232.955761</v>
      </c>
    </row>
    <row r="21" spans="1:2" x14ac:dyDescent="0.25">
      <c r="A21" t="s">
        <v>63</v>
      </c>
      <c r="B21" s="18">
        <f>-Assumptions!B30</f>
        <v>-5105608000</v>
      </c>
    </row>
    <row r="22" spans="1:2" x14ac:dyDescent="0.25">
      <c r="A22" t="s">
        <v>64</v>
      </c>
      <c r="B22" s="18">
        <f>B20+B21</f>
        <v>10372414232.955761</v>
      </c>
    </row>
    <row r="23" spans="1:2" x14ac:dyDescent="0.25">
      <c r="A23" s="19" t="s">
        <v>65</v>
      </c>
      <c r="B23" s="25">
        <f>B22/Assumptions!B31</f>
        <v>11.275454797483228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6.515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8.04106107023386</v>
      </c>
    </row>
    <row r="29" spans="1:2" x14ac:dyDescent="0.25">
      <c r="A29" s="19" t="s">
        <v>73</v>
      </c>
      <c r="B29" s="12">
        <f>B28/B26-1</f>
        <v>0.2342380767818666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0.04913</v>
      </c>
      <c r="B5" s="31">
        <v>14.435732506166518</v>
      </c>
      <c r="C5" s="31">
        <v>15.146633453797007</v>
      </c>
      <c r="D5" s="31">
        <v>16.12683358193641</v>
      </c>
      <c r="E5" s="31">
        <v>17.58749272893465</v>
      </c>
      <c r="F5" s="31">
        <v>20.038652316085606</v>
      </c>
    </row>
    <row r="6" spans="1:6" x14ac:dyDescent="0.25">
      <c r="A6" s="30">
        <v>0.05913</v>
      </c>
      <c r="B6" s="31">
        <v>10.183023363373664</v>
      </c>
      <c r="C6" s="31">
        <v>10.244479477750994</v>
      </c>
      <c r="D6" s="31">
        <v>10.30679313075959</v>
      </c>
      <c r="E6" s="31">
        <v>10.370405897389817</v>
      </c>
      <c r="F6" s="31">
        <v>10.436125349308659</v>
      </c>
    </row>
    <row r="7" spans="1:6" x14ac:dyDescent="0.25">
      <c r="A7" s="30">
        <v>0.06913</v>
      </c>
      <c r="B7" s="31">
        <v>7.9449635008971065</v>
      </c>
      <c r="C7" s="31">
        <v>7.993019509677107</v>
      </c>
      <c r="D7" s="32">
        <v>8.0410755184571</v>
      </c>
      <c r="E7" s="31">
        <v>8.089131527237097</v>
      </c>
      <c r="F7" s="31">
        <v>8.13718753601709</v>
      </c>
    </row>
    <row r="8" spans="1:6" x14ac:dyDescent="0.25">
      <c r="A8" s="30">
        <v>0.07913</v>
      </c>
      <c r="B8" s="31">
        <v>6.275999096042112</v>
      </c>
      <c r="C8" s="31">
        <v>6.316259531152397</v>
      </c>
      <c r="D8" s="31">
        <v>6.356519966262676</v>
      </c>
      <c r="E8" s="31">
        <v>6.396780401372959</v>
      </c>
      <c r="F8" s="31">
        <v>6.43704083648324</v>
      </c>
    </row>
    <row r="9" spans="1:6" x14ac:dyDescent="0.25">
      <c r="A9" s="30">
        <v>0.08913</v>
      </c>
      <c r="B9" s="31">
        <v>4.980940376651165</v>
      </c>
      <c r="C9" s="31">
        <v>5.015230490532678</v>
      </c>
      <c r="D9" s="31">
        <v>5.049520604414194</v>
      </c>
      <c r="E9" s="31">
        <v>5.083810718295705</v>
      </c>
      <c r="F9" s="31">
        <v>5.118100832177216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1077163000</v>
      </c>
      <c r="C5" s="18">
        <v>1036036000</v>
      </c>
      <c r="D5" s="18">
        <v>960288000</v>
      </c>
      <c r="E5" s="18">
        <v>852991000</v>
      </c>
      <c r="F5" s="8" t="s">
        <v>84</v>
      </c>
    </row>
    <row r="6" spans="1:6" x14ac:dyDescent="0.25">
      <c r="A6" t="s">
        <v>44</v>
      </c>
      <c r="B6" s="18">
        <v>588441000</v>
      </c>
      <c r="C6" s="18">
        <v>564611000</v>
      </c>
      <c r="D6" s="18">
        <v>513766000</v>
      </c>
      <c r="E6" s="18">
        <v>425154000</v>
      </c>
      <c r="F6" s="8" t="s">
        <v>85</v>
      </c>
    </row>
    <row r="7" spans="1:6" x14ac:dyDescent="0.25">
      <c r="A7" t="s">
        <v>86</v>
      </c>
      <c r="B7" s="18">
        <v>396004000</v>
      </c>
      <c r="C7" s="18">
        <v>382113000</v>
      </c>
      <c r="D7" s="18">
        <v>365479000</v>
      </c>
      <c r="E7" s="18">
        <v>363716000</v>
      </c>
      <c r="F7" s="8" t="s">
        <v>87</v>
      </c>
    </row>
    <row r="8" spans="1:6" x14ac:dyDescent="0.25">
      <c r="A8" t="s">
        <v>88</v>
      </c>
      <c r="B8" s="18">
        <v>282003000</v>
      </c>
      <c r="C8" s="18">
        <v>296945000</v>
      </c>
      <c r="D8" s="18">
        <v>299463000</v>
      </c>
      <c r="E8" s="18">
        <v>255024000</v>
      </c>
      <c r="F8" s="8" t="s">
        <v>89</v>
      </c>
    </row>
    <row r="9" spans="1:6" x14ac:dyDescent="0.25">
      <c r="A9" t="s">
        <v>90</v>
      </c>
      <c r="B9" s="18">
        <v>-28810000</v>
      </c>
      <c r="C9" s="18">
        <v>-19885000</v>
      </c>
      <c r="D9" s="18">
        <v>-100996000</v>
      </c>
      <c r="E9" s="18">
        <v>-23169000</v>
      </c>
      <c r="F9" s="8" t="s">
        <v>91</v>
      </c>
    </row>
    <row r="10" spans="1:6" x14ac:dyDescent="0.25">
      <c r="A10" t="s">
        <v>92</v>
      </c>
      <c r="B10" s="18">
        <v>5315219000</v>
      </c>
      <c r="C10" s="18">
        <v>4631126000</v>
      </c>
      <c r="D10" s="18">
        <v>4303286000</v>
      </c>
      <c r="E10" s="18">
        <v>4152716000</v>
      </c>
      <c r="F10" s="8" t="s">
        <v>93</v>
      </c>
    </row>
    <row r="11" spans="1:6" x14ac:dyDescent="0.25">
      <c r="A11" t="s">
        <v>94</v>
      </c>
      <c r="B11" s="18">
        <v>209611000</v>
      </c>
      <c r="C11" s="18">
        <v>115133000</v>
      </c>
      <c r="D11" s="18">
        <v>95078000</v>
      </c>
      <c r="E11" s="18">
        <v>72852000</v>
      </c>
      <c r="F11" s="8" t="s">
        <v>95</v>
      </c>
    </row>
    <row r="12" spans="1:6" x14ac:dyDescent="0.25">
      <c r="A12" t="s">
        <v>32</v>
      </c>
      <c r="B12" s="34">
        <v>919910941</v>
      </c>
      <c r="C12" s="34">
        <v>997008451</v>
      </c>
      <c r="D12" s="34">
        <v>956329577</v>
      </c>
      <c r="E12" s="34">
        <v>959914631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2026-09-19T01:06:37Z</dcterms:modified>
</cp:coreProperties>
</file>