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<sst xmlns="http://schemas.openxmlformats.org/spreadsheetml/2006/main" count="119" uniqueCount="106">
  <si>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International Paper Company (IP)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</si>
  <si>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</si>
  <si>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</si>
  <si>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</si>
  <si>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</si>
  <si>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</si>
  <si>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</si>
  <si>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</si>
  <si>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</si>
  <si>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</si>
  <si>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</si>
  <si>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</si>
  <si>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</si>
  <si>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</si>
  <si>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</si>
  <si>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</si>
  <si>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</si>
  <si>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</si>
  <si>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</si>
  <si>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</si>
  <si>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</si>
  <si>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</si>
  <si>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</si>
  <si>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</si>
  <si>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D rating at -0.0x interest cover, capped at 200bp because one year's cover is too noisy to charge more. Book interest / average debt was lower, at 6.8%.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</si>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</sst>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0.0364328120504358</v>
      </c>
    </row>
    <row r="7" spans="1:2" x14ac:dyDescent="0.25">
      <c r="A7" t="s">
        <v>4</v>
      </c>
      <c r="B7" s="5">
        <v>0.04156239584279177</v>
      </c>
    </row>
    <row r="8" spans="1:2" x14ac:dyDescent="0.25">
      <c r="A8" t="s">
        <v>5</v>
      </c>
      <c r="B8" s="5">
        <v>0.1691542288557214</v>
      </c>
    </row>
    <row r="9" spans="1:2" x14ac:dyDescent="0.25">
      <c r="A9" t="s">
        <v>6</v>
      </c>
      <c r="B9" s="5">
        <v>0.08570453577476447</v>
      </c>
    </row>
    <row r="10" spans="1:3" x14ac:dyDescent="0.25">
      <c r="A10" t="s">
        <v>7</v>
      </c>
      <c r="B10" s="5">
        <v>0.06297432294484412</v>
      </c>
      <c r="C10" s="6" t="s">
        <v>8</v>
      </c>
    </row>
    <row r="11" spans="1:2" x14ac:dyDescent="0.25">
      <c r="A11" t="s">
        <v>9</v>
      </c>
      <c r="B11" s="5">
        <v>0.11563770188251209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9.899880557103064</v>
      </c>
    </row>
    <row r="14" spans="1:3" x14ac:dyDescent="0.25">
      <c r="A14" t="s">
        <v>12</v>
      </c>
      <c r="B14" s="5">
        <v>0.07734525418560069</v>
      </c>
      <c r="C14" s="6" t="s">
        <v>13</v>
      </c>
    </row>
    <row r="15" spans="1:3" x14ac:dyDescent="0.25">
      <c r="A15" t="s">
        <v>14</v>
      </c>
      <c r="B15" s="5">
        <v>0.06923140096373874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0.92563</v>
      </c>
      <c r="C19" s="6" t="s">
        <v>21</v>
      </c>
    </row>
    <row r="20" spans="1:2" x14ac:dyDescent="0.25">
      <c r="A20" t="s">
        <v>22</v>
      </c>
      <c r="B20" s="9">
        <f>B17+B19*B18</f>
        <v>0.088094149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19260456960</v>
      </c>
    </row>
    <row r="23" spans="1:2" x14ac:dyDescent="0.25">
      <c r="A23" t="s">
        <v>26</v>
      </c>
      <c r="B23" s="10">
        <v>10317000000</v>
      </c>
    </row>
    <row r="24" spans="1:2" x14ac:dyDescent="0.25">
      <c r="A24" t="s">
        <v>27</v>
      </c>
      <c r="B24" s="9">
        <f>B22/(B22+B23)</f>
        <v>0.6511870505313382</v>
      </c>
    </row>
    <row r="25" spans="1:2" x14ac:dyDescent="0.25">
      <c r="A25" t="s">
        <v>28</v>
      </c>
      <c r="B25" s="9">
        <f>1-B24</f>
        <v>0.3488129494686618</v>
      </c>
    </row>
    <row r="26" spans="1:2" x14ac:dyDescent="0.25">
      <c r="A26" t="s">
        <v>29</v>
      </c>
      <c r="B26" s="11">
        <f>B24*B20+B25*B21*(1-B8)</f>
        <v>0.07734525418560069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23634000000</v>
      </c>
      <c r="C29" s="6" t="s">
        <v>32</v>
      </c>
    </row>
    <row r="30" spans="1:2" x14ac:dyDescent="0.25">
      <c r="A30" t="s">
        <v>33</v>
      </c>
      <c r="B30" s="10">
        <v>9172000000</v>
      </c>
    </row>
    <row r="31" spans="1:2" x14ac:dyDescent="0.25">
      <c r="A31" t="s">
        <v>34</v>
      </c>
      <c r="B31" s="12">
        <v>505899281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0.0364328120504358</v>
      </c>
      <c r="C5" s="5">
        <v>0.06707413103511439</v>
      </c>
      <c r="D5" s="5">
        <v>0.061814864655725096</v>
      </c>
      <c r="E5" s="5">
        <v>0.05655559827633579</v>
      </c>
      <c r="F5" s="5">
        <v>0.0512963318969465</v>
      </c>
      <c r="G5" s="5">
        <v>0.046037065517557194</v>
      </c>
      <c r="H5" s="5">
        <v>0.0407777991381679</v>
      </c>
      <c r="I5" s="5">
        <v>0.0355185327587786</v>
      </c>
      <c r="J5" s="5">
        <v>0.030259266379389298</v>
      </c>
      <c r="K5" s="5">
        <v>0.025</v>
      </c>
    </row>
    <row r="6" spans="1:11" x14ac:dyDescent="0.25">
      <c r="A6" t="s">
        <v>50</v>
      </c>
      <c r="B6" s="18">
        <f>Assumptions!B29*(1+B5)</f>
        <v>24495053080</v>
      </c>
      <c r="C6" s="18">
        <f>B6*(1+C5)</f>
        <v>26138037480.000004</v>
      </c>
      <c r="D6" s="18">
        <f>C6*(1+D5)</f>
        <v>27753756729.192474</v>
      </c>
      <c r="E6" s="18">
        <f>D6*(1+E5)</f>
        <v>29323387045.427834</v>
      </c>
      <c r="F6" s="18">
        <f>E6*(1+F5)</f>
        <v>30827569239.652725</v>
      </c>
      <c r="G6" s="18">
        <f>F6*(1+G5)</f>
        <v>32246780064.48565</v>
      </c>
      <c r="H6" s="18">
        <f>G6*(1+H5)</f>
        <v>33561732784.807922</v>
      </c>
      <c r="I6" s="18">
        <f>H6*(1+I5)</f>
        <v>34753796290.1665</v>
      </c>
      <c r="J6" s="18">
        <f>I6*(1+J5)</f>
        <v>35805420669.80567</v>
      </c>
      <c r="K6" s="18">
        <f>J6*(1+K5)</f>
        <v>36700556186.55081</v>
      </c>
    </row>
    <row r="7" spans="1:11" x14ac:dyDescent="0.25">
      <c r="A7" t="s">
        <v>4</v>
      </c>
      <c r="B7" s="9">
        <f>Assumptions!B7</f>
        <v>0.04156239584279177</v>
      </c>
      <c r="C7" s="9">
        <f>Assumptions!B7</f>
        <v>0.04156239584279177</v>
      </c>
      <c r="D7" s="9">
        <f>Assumptions!B7</f>
        <v>0.04156239584279177</v>
      </c>
      <c r="E7" s="9">
        <f>Assumptions!B7</f>
        <v>0.04156239584279177</v>
      </c>
      <c r="F7" s="9">
        <f>Assumptions!B7</f>
        <v>0.04156239584279177</v>
      </c>
      <c r="G7" s="9">
        <f>Assumptions!B7</f>
        <v>0.04156239584279177</v>
      </c>
      <c r="H7" s="9">
        <f>Assumptions!B7</f>
        <v>0.04156239584279177</v>
      </c>
      <c r="I7" s="9">
        <f>Assumptions!B7</f>
        <v>0.04156239584279177</v>
      </c>
      <c r="J7" s="9">
        <f>Assumptions!B7</f>
        <v>0.04156239584279177</v>
      </c>
      <c r="K7" s="9">
        <f>Assumptions!B7</f>
        <v>0.04156239584279177</v>
      </c>
    </row>
    <row r="8" spans="1:11" x14ac:dyDescent="0.25">
      <c r="A8" t="s">
        <v>51</v>
      </c>
      <c r="B8" s="18">
        <f>B6*B7</f>
        <v>1018073092.3011557</v>
      </c>
      <c r="C8" s="18">
        <f>C6*C7</f>
        <v>1086359460.2974875</v>
      </c>
      <c r="D8" s="18">
        <f>D6*D7</f>
        <v>1153512623.3032434</v>
      </c>
      <c r="E8" s="18">
        <f>E6*E7</f>
        <v>1218750219.833464</v>
      </c>
      <c r="F8" s="18">
        <f>F6*F7</f>
        <v>1281267635.6095178</v>
      </c>
      <c r="G8" s="18">
        <f>G6*G7</f>
        <v>1340253437.6955988</v>
      </c>
      <c r="H8" s="18">
        <f>H6*H7</f>
        <v>1394906023.172189</v>
      </c>
      <c r="I8" s="18">
        <f>I6*I7</f>
        <v>1444451038.451648</v>
      </c>
      <c r="J8" s="18">
        <f>J6*J7</f>
        <v>1488159067.1961417</v>
      </c>
      <c r="K8" s="18">
        <f>K6*K7</f>
        <v>1525363043.8760452</v>
      </c>
    </row>
    <row r="9" spans="1:11" x14ac:dyDescent="0.25">
      <c r="A9" t="s">
        <v>52</v>
      </c>
      <c r="B9" s="18">
        <f>B8*(1-Assumptions!B8)</f>
        <v>845861723.4541941</v>
      </c>
      <c r="C9" s="18">
        <f>C8*(1-Assumptions!B8)</f>
        <v>902597163.5307484</v>
      </c>
      <c r="D9" s="18">
        <f>D8*(1-Assumptions!B8)</f>
        <v>958391085.033043</v>
      </c>
      <c r="E9" s="18">
        <f>E8*(1-Assumptions!B8)</f>
        <v>1012593466.2297934</v>
      </c>
      <c r="F9" s="18">
        <f>F8*(1-Assumptions!B8)</f>
        <v>1064535796.7501963</v>
      </c>
      <c r="G9" s="18">
        <f>G8*(1-Assumptions!B8)</f>
        <v>1113543900.9709702</v>
      </c>
      <c r="H9" s="18">
        <f>H8*(1-Assumptions!B8)</f>
        <v>1158951770.4962964</v>
      </c>
      <c r="I9" s="18">
        <f>I8*(1-Assumptions!B8)</f>
        <v>1200116036.9225135</v>
      </c>
      <c r="J9" s="18">
        <f>J8*(1-Assumptions!B8)</f>
        <v>1236430667.7699287</v>
      </c>
      <c r="K9" s="18">
        <f>K8*(1-Assumptions!B8)</f>
        <v>1267341434.464177</v>
      </c>
    </row>
    <row r="10" spans="1:11" x14ac:dyDescent="0.25">
      <c r="A10" t="s">
        <v>53</v>
      </c>
      <c r="B10" s="18">
        <f>B6*Assumptions!B9</f>
        <v>2099337152.9996147</v>
      </c>
      <c r="C10" s="18">
        <f>C6*Assumptions!B9</f>
        <v>2240148368.286795</v>
      </c>
      <c r="D10" s="18">
        <f>D6*Assumptions!B9</f>
        <v>2378622836.481187</v>
      </c>
      <c r="E10" s="18">
        <f>E6*Assumptions!B9</f>
        <v>2513147274.072135</v>
      </c>
      <c r="F10" s="18">
        <f>F6*Assumptions!B9</f>
        <v>2642062510.748846</v>
      </c>
      <c r="G10" s="18">
        <f>G6*Assumptions!B9</f>
        <v>2763695315.657672</v>
      </c>
      <c r="H10" s="18">
        <f>H6*Assumptions!B9</f>
        <v>2876392728.118656</v>
      </c>
      <c r="I10" s="18">
        <f>I6*Assumptions!B9</f>
        <v>2978557977.459451</v>
      </c>
      <c r="J10" s="18">
        <f>J6*Assumptions!B9</f>
        <v>3068686956.7258515</v>
      </c>
      <c r="K10" s="18">
        <f>K6*Assumptions!B9</f>
        <v>3145404130.6439977</v>
      </c>
    </row>
    <row r="11" spans="1:11" x14ac:dyDescent="0.25">
      <c r="A11" t="s">
        <v>54</v>
      </c>
      <c r="B11" s="18">
        <f>-B6*B19</f>
        <v>-1542559383.2110186</v>
      </c>
      <c r="C11" s="18">
        <f>-C6*C19</f>
        <v>-1709461001.893403</v>
      </c>
      <c r="D11" s="18">
        <f>-D6*D19</f>
        <v>-1882488165.5225606</v>
      </c>
      <c r="E11" s="18">
        <f>-E6*E19</f>
        <v>-2060119892.1400008</v>
      </c>
      <c r="F11" s="18">
        <f>-F6*F19</f>
        <v>-2240613547.5321436</v>
      </c>
      <c r="G11" s="18">
        <f>-G6*G19</f>
        <v>-2422026239.846189</v>
      </c>
      <c r="H11" s="18">
        <f>-H6*H19</f>
        <v>-2602243887.4385996</v>
      </c>
      <c r="I11" s="18">
        <f>-I6*I19</f>
        <v>-2779017602.3783603</v>
      </c>
      <c r="J11" s="18">
        <f>-J6*J19</f>
        <v>-2950006709.4025097</v>
      </c>
      <c r="K11" s="18">
        <f>-K6*K19</f>
        <v>-3112827402.086363</v>
      </c>
    </row>
    <row r="12" spans="1:11" x14ac:dyDescent="0.25">
      <c r="A12" t="s">
        <v>55</v>
      </c>
      <c r="B12" s="18">
        <f>-(B6-Assumptions!B29)*Assumptions!B11</f>
        <v>-99570199.37005883</v>
      </c>
      <c r="C12" s="18">
        <f>-(C6-B6)*Assumptions!B11</f>
        <v>-189990940.24481842</v>
      </c>
      <c r="D12" s="18">
        <f>-(D6-C6)*Assumptions!B11</f>
        <v>-186838060.86395517</v>
      </c>
      <c r="E12" s="18">
        <f>-(E6-D6)*Assumptions!B11</f>
        <v>-181508442.57457763</v>
      </c>
      <c r="F12" s="18">
        <f>-(F6-E6)*Assumptions!B11</f>
        <v>-173940172.15276092</v>
      </c>
      <c r="G12" s="18">
        <f>-(G6-F6)*Assumptions!B11</f>
        <v>-164114278.27046373</v>
      </c>
      <c r="H12" s="18">
        <f>-(H6-G6)*Assumptions!B11</f>
        <v>-152058110.66222534</v>
      </c>
      <c r="I12" s="18">
        <f>-(I6-H6)*Assumptions!B11</f>
        <v>-137847484.2576771</v>
      </c>
      <c r="J12" s="18">
        <f>-(J6-I6)*Assumptions!B11</f>
        <v>-121607426.50509667</v>
      </c>
      <c r="K12" s="18">
        <f>-(K6-J6)*Assumptions!B11</f>
        <v>-103511414.02982292</v>
      </c>
    </row>
    <row r="13" spans="1:11" x14ac:dyDescent="0.25">
      <c r="A13" s="19" t="s">
        <v>56</v>
      </c>
      <c r="B13" s="20">
        <f>B9+B10+B11+B12</f>
        <v>1303069293.8727314</v>
      </c>
      <c r="C13" s="20">
        <f>C9+C10+C11+C12</f>
        <v>1243293589.679322</v>
      </c>
      <c r="D13" s="20">
        <f>D9+D10+D11+D12</f>
        <v>1267687695.127714</v>
      </c>
      <c r="E13" s="20">
        <f>E9+E10+E11+E12</f>
        <v>1284112405.5873501</v>
      </c>
      <c r="F13" s="20">
        <f>F9+F10+F11+F12</f>
        <v>1292044587.814138</v>
      </c>
      <c r="G13" s="20">
        <f>G9+G10+G11+G12</f>
        <v>1291098698.5119894</v>
      </c>
      <c r="H13" s="20">
        <f>H9+H10+H11+H12</f>
        <v>1281042500.5141277</v>
      </c>
      <c r="I13" s="20">
        <f>I9+I10+I11+I12</f>
        <v>1261808927.7459273</v>
      </c>
      <c r="J13" s="20">
        <f>J9+J10+J11+J12</f>
        <v>1233503488.5881736</v>
      </c>
      <c r="K13" s="20">
        <f>K9+K10+K11+K12</f>
        <v>1196406748.9919887</v>
      </c>
    </row>
    <row r="14" spans="1:11" x14ac:dyDescent="0.25">
      <c r="A14" t="s">
        <v>57</v>
      </c>
      <c r="B14" s="21">
        <f>1/(1+Assumptions!$B$26)^(1-0.5*Assumptions!$B$32)</f>
        <v>0.963435286373035</v>
      </c>
      <c r="C14" s="21">
        <f>1/(1+Assumptions!$B$26)^(2-0.5*Assumptions!$B$32)</f>
        <v>0.8942679077389412</v>
      </c>
      <c r="D14" s="21">
        <f>1/(1+Assumptions!$B$26)^(3-0.5*Assumptions!$B$32)</f>
        <v>0.8300662246059146</v>
      </c>
      <c r="E14" s="21">
        <f>1/(1+Assumptions!$B$26)^(4-0.5*Assumptions!$B$32)</f>
        <v>0.7704737375330881</v>
      </c>
      <c r="F14" s="21">
        <f>1/(1+Assumptions!$B$26)^(5-0.5*Assumptions!$B$32)</f>
        <v>0.7151595410475108</v>
      </c>
      <c r="G14" s="21">
        <f>1/(1+Assumptions!$B$26)^(6-0.5*Assumptions!$B$32)</f>
        <v>0.6638164861905131</v>
      </c>
      <c r="H14" s="21">
        <f>1/(1+Assumptions!$B$26)^(7-0.5*Assumptions!$B$32)</f>
        <v>0.6161594749793676</v>
      </c>
      <c r="I14" s="21">
        <f>1/(1+Assumptions!$B$26)^(8-0.5*Assumptions!$B$32)</f>
        <v>0.5719238773137234</v>
      </c>
      <c r="J14" s="21">
        <f>1/(1+Assumptions!$B$26)^(9-0.5*Assumptions!$B$32)</f>
        <v>0.5308640615362051</v>
      </c>
      <c r="K14" s="21">
        <f>1/(1+Assumptions!$B$26)^(10-0.5*Assumptions!$B$32)</f>
        <v>0.49275203048766575</v>
      </c>
    </row>
    <row r="15" spans="1:11" x14ac:dyDescent="0.25">
      <c r="A15" s="19" t="s">
        <v>58</v>
      </c>
      <c r="B15" s="20">
        <f>B13*B14</f>
        <v>1255422938.3061836</v>
      </c>
      <c r="C15" s="20">
        <f>C13*C14</f>
        <v>1111837557.147765</v>
      </c>
      <c r="D15" s="20">
        <f>D13*D14</f>
        <v>1052264739.0740352</v>
      </c>
      <c r="E15" s="20">
        <f>E13*E14</f>
        <v>989374884.5454904</v>
      </c>
      <c r="F15" s="20">
        <f>F13*F14</f>
        <v>924018014.4340792</v>
      </c>
      <c r="G15" s="20">
        <f>G13*G14</f>
        <v>857052601.3713735</v>
      </c>
      <c r="H15" s="20">
        <f>H13*H14</f>
        <v>789326474.5430412</v>
      </c>
      <c r="I15" s="20">
        <f>I13*I14</f>
        <v>721658654.3855226</v>
      </c>
      <c r="J15" s="20">
        <f>J13*J14</f>
        <v>654822671.8709959</v>
      </c>
      <c r="K15" s="20">
        <f>K13*K14</f>
        <v>589531854.8549495</v>
      </c>
    </row>
    <row r="17" spans="1:2" x14ac:dyDescent="0.25">
      <c r="A17" s="22" t="s">
        <v>59</v>
      </c>
      <c r="B17" s="23">
        <f>SUM(B15:K15)</f>
        <v>8945310390.533436</v>
      </c>
    </row>
    <row r="19" spans="1:11" x14ac:dyDescent="0.25">
      <c r="A19" t="s">
        <v>7</v>
      </c>
      <c r="B19" s="9">
        <f>Assumptions!$B$10+($B$20-Assumptions!$B$10)*0/9</f>
        <v>0.06297432294484412</v>
      </c>
      <c r="C19" s="9">
        <f>Assumptions!$B$10+($B$20-Assumptions!$B$10)*1/9</f>
        <v>0.0654012759451213</v>
      </c>
      <c r="D19" s="9">
        <f>Assumptions!$B$10+($B$20-Assumptions!$B$10)*2/9</f>
        <v>0.06782822894539847</v>
      </c>
      <c r="E19" s="9">
        <f>Assumptions!$B$10+($B$20-Assumptions!$B$10)*3/9</f>
        <v>0.07025518194567565</v>
      </c>
      <c r="F19" s="9">
        <f>Assumptions!$B$10+($B$20-Assumptions!$B$10)*4/9</f>
        <v>0.07268213494595283</v>
      </c>
      <c r="G19" s="9">
        <f>Assumptions!$B$10+($B$20-Assumptions!$B$10)*5/9</f>
        <v>0.07510908794623</v>
      </c>
      <c r="H19" s="9">
        <f>Assumptions!$B$10+($B$20-Assumptions!$B$10)*6/9</f>
        <v>0.07753604094650718</v>
      </c>
      <c r="I19" s="9">
        <f>Assumptions!$B$10+($B$20-Assumptions!$B$10)*7/9</f>
        <v>0.07996299394678436</v>
      </c>
      <c r="J19" s="9">
        <f>Assumptions!$B$10+($B$20-Assumptions!$B$10)*8/9</f>
        <v>0.08238994694706153</v>
      </c>
      <c r="K19" s="9">
        <f>Assumptions!$B$10+($B$20-Assumptions!$B$10)*9/9</f>
        <v>0.08481689994733871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0.08481689994733871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1196406748.9919887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1769648529.0911067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0.3232260371141716</v>
      </c>
    </row>
    <row r="7" spans="1:2" x14ac:dyDescent="0.25">
      <c r="A7" t="s">
        <v>66</v>
      </c>
      <c r="B7" s="18">
        <f>-MAX(B5,0)*B6</f>
        <v>-571996481.1430411</v>
      </c>
    </row>
    <row r="8" spans="1:2" x14ac:dyDescent="0.25">
      <c r="A8" t="s">
        <v>67</v>
      </c>
      <c r="B8" s="18">
        <f>IF(OR(Assumptions!$B$33=0,Assumptions!B12&lt;=0),B5,MAX(B5+B7,0))</f>
        <v>1197652047.9480655</v>
      </c>
    </row>
    <row r="9" spans="1:2" x14ac:dyDescent="0.25">
      <c r="A9" t="s">
        <v>68</v>
      </c>
      <c r="B9" s="18">
        <f>B8*(1+Assumptions!B12)/(Assumptions!B26-Assumptions!B12)</f>
        <v>23451855726.864685</v>
      </c>
    </row>
    <row r="10" spans="1:2" x14ac:dyDescent="0.25">
      <c r="A10" t="s">
        <v>69</v>
      </c>
      <c r="B10" s="18">
        <f>B9/(1+Assumptions!B26)^(10-0.5*Assumptions!B32)</f>
        <v>11555949528.116365</v>
      </c>
    </row>
    <row r="11" spans="1:2" x14ac:dyDescent="0.25">
      <c r="A11" t="s">
        <v>70</v>
      </c>
      <c r="B11" s="18">
        <f>Forecast!B17+B10</f>
        <v>20501259918.649803</v>
      </c>
    </row>
    <row r="12" spans="1:2" x14ac:dyDescent="0.25">
      <c r="A12" t="s">
        <v>71</v>
      </c>
      <c r="B12" s="18">
        <f>-Assumptions!B30</f>
        <v>-9172000000</v>
      </c>
    </row>
    <row r="13" spans="1:2" x14ac:dyDescent="0.25">
      <c r="A13" t="s">
        <v>72</v>
      </c>
      <c r="B13" s="18">
        <f>B11+B12</f>
        <v>11329259918.649803</v>
      </c>
    </row>
    <row r="14" spans="1:2" x14ac:dyDescent="0.25">
      <c r="A14" s="19" t="s">
        <v>73</v>
      </c>
      <c r="B14" s="24">
        <f>B13/Assumptions!B31</f>
        <v>22.39429930846216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4670767174.520042</v>
      </c>
    </row>
    <row r="18" spans="1:2" x14ac:dyDescent="0.25">
      <c r="A18" t="s">
        <v>68</v>
      </c>
      <c r="B18" s="18">
        <f>B17*Assumptions!B13</f>
        <v>46240037137.78618</v>
      </c>
    </row>
    <row r="19" spans="1:2" x14ac:dyDescent="0.25">
      <c r="A19" t="s">
        <v>69</v>
      </c>
      <c r="B19" s="18">
        <f>B18/(1+Assumptions!B26)^(10-0.5*Assumptions!B32)</f>
        <v>22784872189.46921</v>
      </c>
    </row>
    <row r="20" spans="1:2" x14ac:dyDescent="0.25">
      <c r="A20" t="s">
        <v>70</v>
      </c>
      <c r="B20" s="18">
        <f>Forecast!B17+B19</f>
        <v>31730182580.002647</v>
      </c>
    </row>
    <row r="21" spans="1:2" x14ac:dyDescent="0.25">
      <c r="A21" t="s">
        <v>71</v>
      </c>
      <c r="B21" s="18">
        <f>-Assumptions!B30</f>
        <v>-9172000000</v>
      </c>
    </row>
    <row r="22" spans="1:2" x14ac:dyDescent="0.25">
      <c r="A22" t="s">
        <v>72</v>
      </c>
      <c r="B22" s="18">
        <f>B20+B21</f>
        <v>22558182580.002647</v>
      </c>
    </row>
    <row r="23" spans="1:2" x14ac:dyDescent="0.25">
      <c r="A23" s="19" t="s">
        <v>73</v>
      </c>
      <c r="B23" s="25">
        <f>B22/Assumptions!B31</f>
        <v>44.59026416367381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36.37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22.39429930846216</v>
      </c>
    </row>
    <row r="29" spans="1:2" x14ac:dyDescent="0.25">
      <c r="A29" s="19" t="s">
        <v>81</v>
      </c>
      <c r="B29" s="11">
        <f>B28/B26-1</f>
        <v>-0.3842645227258136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0.057345</v>
      </c>
      <c r="B5" s="31">
        <v>38.20991637108442</v>
      </c>
      <c r="C5" s="31">
        <v>37.43622188938045</v>
      </c>
      <c r="D5" s="31">
        <v>36.66252740767649</v>
      </c>
      <c r="E5" s="31">
        <v>35.88883292597256</v>
      </c>
      <c r="F5" s="31">
        <v>35.11513844426858</v>
      </c>
    </row>
    <row r="6" spans="1:6" x14ac:dyDescent="0.25">
      <c r="A6" s="30">
        <v>0.067345</v>
      </c>
      <c r="B6" s="31">
        <v>29.707623934574645</v>
      </c>
      <c r="C6" s="31">
        <v>29.085546516072085</v>
      </c>
      <c r="D6" s="31">
        <v>28.46346909756951</v>
      </c>
      <c r="E6" s="31">
        <v>27.841391679066938</v>
      </c>
      <c r="F6" s="31">
        <v>27.219314260564374</v>
      </c>
    </row>
    <row r="7" spans="1:6" x14ac:dyDescent="0.25">
      <c r="A7" s="30">
        <v>0.077345</v>
      </c>
      <c r="B7" s="31">
        <v>23.418231856814163</v>
      </c>
      <c r="C7" s="31">
        <v>22.906332682851765</v>
      </c>
      <c r="D7" s="32">
        <v>22.39443350888936</v>
      </c>
      <c r="E7" s="31">
        <v>21.88253433492697</v>
      </c>
      <c r="F7" s="31">
        <v>21.370635160964557</v>
      </c>
    </row>
    <row r="8" spans="1:6" x14ac:dyDescent="0.25">
      <c r="A8" s="30">
        <v>0.087345</v>
      </c>
      <c r="B8" s="31">
        <v>18.580779274452542</v>
      </c>
      <c r="C8" s="31">
        <v>18.152013017717735</v>
      </c>
      <c r="D8" s="31">
        <v>17.72324676098293</v>
      </c>
      <c r="E8" s="31">
        <v>17.29448050424812</v>
      </c>
      <c r="F8" s="31">
        <v>16.865714247513324</v>
      </c>
    </row>
    <row r="9" spans="1:6" x14ac:dyDescent="0.25">
      <c r="A9" s="30">
        <v>0.097345</v>
      </c>
      <c r="B9" s="31">
        <v>14.747057631132773</v>
      </c>
      <c r="C9" s="31">
        <v>14.382844857623681</v>
      </c>
      <c r="D9" s="31">
        <v>14.018632084114593</v>
      </c>
      <c r="E9" s="31">
        <v>13.654419310605512</v>
      </c>
      <c r="F9" s="31">
        <v>13.290206537096418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23634000000</v>
      </c>
      <c r="C5" s="18">
        <v>15835000000</v>
      </c>
      <c r="D5" s="18">
        <v>16033000000</v>
      </c>
      <c r="E5" s="18">
        <v>21161000000</v>
      </c>
      <c r="F5" s="6" t="s">
        <v>91</v>
      </c>
    </row>
    <row r="6" spans="1:6" x14ac:dyDescent="0.25">
      <c r="A6" t="s">
        <v>51</v>
      </c>
      <c r="B6" s="18">
        <v>-10000000</v>
      </c>
      <c r="C6" s="18">
        <v>585000000</v>
      </c>
      <c r="D6" s="18">
        <v>751000000</v>
      </c>
      <c r="E6" s="18">
        <v>1754000000</v>
      </c>
      <c r="F6" s="6" t="s">
        <v>92</v>
      </c>
    </row>
    <row r="7" spans="1:6" x14ac:dyDescent="0.25">
      <c r="A7" t="s">
        <v>93</v>
      </c>
      <c r="B7" s="18">
        <v>2882000000</v>
      </c>
      <c r="C7" s="18">
        <v>1305000000</v>
      </c>
      <c r="D7" s="18">
        <v>1432000000</v>
      </c>
      <c r="E7" s="18">
        <v>1040000000</v>
      </c>
      <c r="F7" s="6" t="s">
        <v>94</v>
      </c>
    </row>
    <row r="8" spans="1:6" x14ac:dyDescent="0.25">
      <c r="A8" t="s">
        <v>95</v>
      </c>
      <c r="B8" s="18">
        <v>1857000000</v>
      </c>
      <c r="C8" s="18">
        <v>921000000</v>
      </c>
      <c r="D8" s="18">
        <v>1141000000</v>
      </c>
      <c r="E8" s="18">
        <v>931000000</v>
      </c>
      <c r="F8" s="6" t="s">
        <v>96</v>
      </c>
    </row>
    <row r="9" spans="1:6" x14ac:dyDescent="0.25">
      <c r="A9" t="s">
        <v>97</v>
      </c>
      <c r="B9" s="18">
        <v>834000000</v>
      </c>
      <c r="C9" s="18">
        <v>10000000</v>
      </c>
      <c r="D9" s="18">
        <v>2000000</v>
      </c>
      <c r="E9" s="18">
        <v>145000000</v>
      </c>
      <c r="F9" s="6" t="s">
        <v>98</v>
      </c>
    </row>
    <row r="10" spans="1:6" x14ac:dyDescent="0.25">
      <c r="A10" t="s">
        <v>99</v>
      </c>
      <c r="B10" s="18">
        <v>10317000000</v>
      </c>
      <c r="C10" s="18">
        <v>5822000000</v>
      </c>
      <c r="D10" s="18">
        <v>5905000000</v>
      </c>
      <c r="E10" s="18">
        <v>5862000000</v>
      </c>
      <c r="F10" s="6" t="s">
        <v>100</v>
      </c>
    </row>
    <row r="11" spans="1:6" x14ac:dyDescent="0.25">
      <c r="A11" t="s">
        <v>101</v>
      </c>
      <c r="B11" s="18">
        <v>1145000000</v>
      </c>
      <c r="C11" s="18">
        <v>1062000000</v>
      </c>
      <c r="D11" s="18">
        <v>1113000000</v>
      </c>
      <c r="E11" s="18">
        <v>804000000</v>
      </c>
      <c r="F11" s="6" t="s">
        <v>102</v>
      </c>
    </row>
    <row r="12" spans="1:6" x14ac:dyDescent="0.25">
      <c r="A12" t="s">
        <v>34</v>
      </c>
      <c r="B12" s="34">
        <v>505899281</v>
      </c>
      <c r="C12" s="34">
        <v>354200000</v>
      </c>
      <c r="D12" s="34">
        <v>349100000</v>
      </c>
      <c r="E12" s="34">
        <v>367000000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