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<sst xmlns="http://schemas.openxmlformats.org/spreadsheetml/2006/main" count="111" uniqueCount="99">
  <si>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IQVIA Holdings Inc. (IQV)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</si>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</sst>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0.04214942539507627</v>
      </c>
    </row>
    <row r="7" spans="1:2" x14ac:dyDescent="0.25">
      <c r="A7" t="s">
        <v>5</v>
      </c>
      <c r="B7" s="6">
        <v>0.1379610586113403</v>
      </c>
    </row>
    <row r="8" spans="1:2" x14ac:dyDescent="0.25">
      <c r="A8" t="s">
        <v>6</v>
      </c>
      <c r="B8" s="6">
        <v>0.16936923128487497</v>
      </c>
    </row>
    <row r="9" spans="1:2" x14ac:dyDescent="0.25">
      <c r="A9" t="s">
        <v>7</v>
      </c>
      <c r="B9" s="6">
        <v>0.07398826308805262</v>
      </c>
    </row>
    <row r="10" spans="1:2" x14ac:dyDescent="0.25">
      <c r="A10" t="s">
        <v>8</v>
      </c>
      <c r="B10" s="6">
        <v>0.04153383649800068</v>
      </c>
    </row>
    <row r="11" spans="1:2" x14ac:dyDescent="0.25">
      <c r="A11" t="s">
        <v>9</v>
      </c>
      <c r="B11" s="6">
        <v>-0.13812154696132597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16.805810103176917</v>
      </c>
    </row>
    <row r="14" spans="1:3" x14ac:dyDescent="0.25">
      <c r="A14" t="s">
        <v>12</v>
      </c>
      <c r="B14" s="6">
        <v>0.09308012038648442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1.12462</v>
      </c>
      <c r="C19" s="8" t="s">
        <v>19</v>
      </c>
    </row>
    <row r="20" spans="1:2" x14ac:dyDescent="0.25">
      <c r="A20" t="s">
        <v>20</v>
      </c>
      <c r="B20" s="10">
        <f>B17+B19*B18</f>
        <v>0.11183409999999999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43852734464</v>
      </c>
    </row>
    <row r="23" spans="1:2" x14ac:dyDescent="0.25">
      <c r="A23" t="s">
        <v>24</v>
      </c>
      <c r="B23" s="11">
        <v>15949000000</v>
      </c>
    </row>
    <row r="24" spans="1:2" x14ac:dyDescent="0.25">
      <c r="A24" t="s">
        <v>25</v>
      </c>
      <c r="B24" s="10">
        <f>B22/(B22+B23)</f>
        <v>0.7333020497992223</v>
      </c>
    </row>
    <row r="25" spans="1:2" x14ac:dyDescent="0.25">
      <c r="A25" t="s">
        <v>26</v>
      </c>
      <c r="B25" s="10">
        <f>1-B24</f>
        <v>0.2666979502007777</v>
      </c>
    </row>
    <row r="26" spans="1:2" x14ac:dyDescent="0.25">
      <c r="A26" t="s">
        <v>27</v>
      </c>
      <c r="B26" s="12">
        <f>B24*B20+B25*B21*(1-B8)</f>
        <v>0.09308012038648442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16310000000</v>
      </c>
      <c r="C29" s="8" t="s">
        <v>30</v>
      </c>
    </row>
    <row r="30" spans="1:2" x14ac:dyDescent="0.25">
      <c r="A30" t="s">
        <v>31</v>
      </c>
      <c r="B30" s="11">
        <v>13808000000</v>
      </c>
    </row>
    <row r="31" spans="1:2" x14ac:dyDescent="0.25">
      <c r="A31" t="s">
        <v>32</v>
      </c>
      <c r="B31" s="13">
        <v>173500000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0.04214942539507627</v>
      </c>
      <c r="C5" s="10">
        <f>Assumptions!B6</f>
        <v>0.04214942539507627</v>
      </c>
      <c r="D5" s="10">
        <f>Assumptions!B6</f>
        <v>0.04214942539507627</v>
      </c>
      <c r="E5" s="10">
        <f>Assumptions!B6</f>
        <v>0.04214942539507627</v>
      </c>
      <c r="F5" s="10">
        <f>Assumptions!B6</f>
        <v>0.04214942539507627</v>
      </c>
    </row>
    <row r="6" spans="1:6" x14ac:dyDescent="0.25">
      <c r="A6" t="s">
        <v>43</v>
      </c>
      <c r="B6" s="18">
        <f>Assumptions!B29*(1+B5)</f>
        <v>16997457128.193693</v>
      </c>
      <c r="C6" s="18">
        <f>B6*(1+C5)</f>
        <v>17713890179.3245</v>
      </c>
      <c r="D6" s="18">
        <f>C6*(1+D5)</f>
        <v>18460520471.894512</v>
      </c>
      <c r="E6" s="18">
        <f>D6*(1+E5)</f>
        <v>19238620802.278908</v>
      </c>
      <c r="F6" s="18">
        <f>E6*(1+F5)</f>
        <v>20049517614.488724</v>
      </c>
    </row>
    <row r="7" spans="1:6" x14ac:dyDescent="0.25">
      <c r="A7" t="s">
        <v>5</v>
      </c>
      <c r="B7" s="10">
        <f>Assumptions!B7</f>
        <v>0.1379610586113403</v>
      </c>
      <c r="C7" s="10">
        <f>Assumptions!B7</f>
        <v>0.1379610586113403</v>
      </c>
      <c r="D7" s="10">
        <f>Assumptions!B7</f>
        <v>0.1379610586113403</v>
      </c>
      <c r="E7" s="10">
        <f>Assumptions!B7</f>
        <v>0.1379610586113403</v>
      </c>
      <c r="F7" s="10">
        <f>Assumptions!B7</f>
        <v>0.1379610586113403</v>
      </c>
    </row>
    <row r="8" spans="1:6" x14ac:dyDescent="0.25">
      <c r="A8" t="s">
        <v>44</v>
      </c>
      <c r="B8" s="18">
        <f>B6*B7</f>
        <v>2344987179.1064744</v>
      </c>
      <c r="C8" s="18">
        <f>C6*C7</f>
        <v>2443827041.264633</v>
      </c>
      <c r="D8" s="18">
        <f>D6*D7</f>
        <v>2546832946.8188863</v>
      </c>
      <c r="E8" s="18">
        <f>E6*E7</f>
        <v>2654180492.1045513</v>
      </c>
      <c r="F8" s="18">
        <f>F6*F7</f>
        <v>2766052674.7415786</v>
      </c>
    </row>
    <row r="9" spans="1:6" x14ac:dyDescent="0.25">
      <c r="A9" t="s">
        <v>45</v>
      </c>
      <c r="B9" s="18">
        <f>B8*(1-Assumptions!B8)</f>
        <v>1947818503.2083235</v>
      </c>
      <c r="C9" s="18">
        <f>C8*(1-Assumptions!B8)</f>
        <v>2029917933.892452</v>
      </c>
      <c r="D9" s="18">
        <f>D8*(1-Assumptions!B8)</f>
        <v>2115477808.4051788</v>
      </c>
      <c r="E9" s="18">
        <f>E8*(1-Assumptions!B8)</f>
        <v>2204643982.4654922</v>
      </c>
      <c r="F9" s="18">
        <f>F8*(1-Assumptions!B8)</f>
        <v>2297568459.5271254</v>
      </c>
    </row>
    <row r="10" spans="1:6" x14ac:dyDescent="0.25">
      <c r="A10" t="s">
        <v>46</v>
      </c>
      <c r="B10" s="18">
        <f>B6*Assumptions!B9</f>
        <v>1257612329.8286903</v>
      </c>
      <c r="C10" s="18">
        <f>C6*Assumptions!B9</f>
        <v>1310619966.9007328</v>
      </c>
      <c r="D10" s="18">
        <f>D6*Assumptions!B9</f>
        <v>1365861845.4169126</v>
      </c>
      <c r="E10" s="18">
        <f>E6*Assumptions!B9</f>
        <v>1423432137.3702939</v>
      </c>
      <c r="F10" s="18">
        <f>F6*Assumptions!B9</f>
        <v>1483428984.049337</v>
      </c>
    </row>
    <row r="11" spans="1:6" x14ac:dyDescent="0.25">
      <c r="A11" t="s">
        <v>47</v>
      </c>
      <c r="B11" s="18">
        <f>-B6*Assumptions!B10</f>
        <v>-705969605.244173</v>
      </c>
      <c r="C11" s="18">
        <f>-C6*Assumptions!B10</f>
        <v>-735725818.4516038</v>
      </c>
      <c r="D11" s="18">
        <f>-D6*Assumptions!B10</f>
        <v>-766736238.947661</v>
      </c>
      <c r="E11" s="18">
        <f>-E6*Assumptions!B10</f>
        <v>-799053730.8488868</v>
      </c>
      <c r="F11" s="18">
        <f>-F6*Assumptions!B10</f>
        <v>-832733386.4639593</v>
      </c>
    </row>
    <row r="12" spans="1:6" x14ac:dyDescent="0.25">
      <c r="A12" t="s">
        <v>48</v>
      </c>
      <c r="B12" s="18">
        <f>-(B6-Assumptions!B29)*Assumptions!B11</f>
        <v>94952642.01570348</v>
      </c>
      <c r="C12" s="18">
        <f>-(C6-B6)*Assumptions!B11</f>
        <v>98954841.31640993</v>
      </c>
      <c r="D12" s="18">
        <f>-(D6-C6)*Assumptions!B11</f>
        <v>103125731.01795734</v>
      </c>
      <c r="E12" s="18">
        <f>-(E6-D6)*Assumptions!B11</f>
        <v>107472421.32381155</v>
      </c>
      <c r="F12" s="18">
        <f>-(F6-E6)*Assumptions!B11</f>
        <v>112002322.12842762</v>
      </c>
    </row>
    <row r="13" spans="1:6" x14ac:dyDescent="0.25">
      <c r="A13" s="19" t="s">
        <v>49</v>
      </c>
      <c r="B13" s="20">
        <f>B9+B10+B11+B12</f>
        <v>2594413869.8085446</v>
      </c>
      <c r="C13" s="20">
        <f>C9+C10+C11+C12</f>
        <v>2703766923.657991</v>
      </c>
      <c r="D13" s="20">
        <f>D9+D10+D11+D12</f>
        <v>2817729145.8923874</v>
      </c>
      <c r="E13" s="20">
        <f>E9+E10+E11+E12</f>
        <v>2936494810.3107104</v>
      </c>
      <c r="F13" s="20">
        <f>F9+F10+F11+F12</f>
        <v>3060266379.2409306</v>
      </c>
    </row>
    <row r="14" spans="1:6" x14ac:dyDescent="0.25">
      <c r="A14" t="s">
        <v>50</v>
      </c>
      <c r="B14" s="21">
        <f>1/(1+Assumptions!$B$26)^(1-0.5*Assumptions!$B$32)</f>
        <v>0.9564758345747504</v>
      </c>
      <c r="C14" s="21">
        <f>1/(1+Assumptions!$B$26)^(2-0.5*Assumptions!$B$32)</f>
        <v>0.875028112519845</v>
      </c>
      <c r="D14" s="21">
        <f>1/(1+Assumptions!$B$26)^(3-0.5*Assumptions!$B$32)</f>
        <v>0.8005159879867344</v>
      </c>
      <c r="E14" s="21">
        <f>1/(1+Assumptions!$B$26)^(4-0.5*Assumptions!$B$32)</f>
        <v>0.7323488672575007</v>
      </c>
      <c r="F14" s="21">
        <f>1/(1+Assumptions!$B$26)^(5-0.5*Assumptions!$B$32)</f>
        <v>0.669986448018615</v>
      </c>
    </row>
    <row r="15" spans="1:6" x14ac:dyDescent="0.25">
      <c r="A15" s="19" t="s">
        <v>51</v>
      </c>
      <c r="B15" s="20">
        <f>B13*B14</f>
        <v>2481494171.3574357</v>
      </c>
      <c r="C15" s="20">
        <f>C13*C14</f>
        <v>2365872067.9020395</v>
      </c>
      <c r="D15" s="20">
        <f>D13*D14</f>
        <v>2255637231.1030617</v>
      </c>
      <c r="E15" s="20">
        <f>E13*E14</f>
        <v>2150538648.038578</v>
      </c>
      <c r="F15" s="20">
        <f>F13*F14</f>
        <v>2050337001.4184186</v>
      </c>
    </row>
    <row r="17" spans="1:2" x14ac:dyDescent="0.25">
      <c r="A17" s="22" t="s">
        <v>52</v>
      </c>
      <c r="B17" s="23">
        <f>SUM(B15:F15)</f>
        <v>11303879119.819534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3060266379.2409306</v>
      </c>
    </row>
    <row r="5" spans="1:2" x14ac:dyDescent="0.25">
      <c r="A5" t="s">
        <v>56</v>
      </c>
      <c r="B5" s="18">
        <f>IF(Assumptions!$B$33=0,B4,B4-Forecast!F11-Forecast!F10-Forecast!F12)</f>
        <v>3360452674.1147194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0.26858581506121576</v>
      </c>
    </row>
    <row r="7" spans="1:2" x14ac:dyDescent="0.25">
      <c r="A7" t="s">
        <v>58</v>
      </c>
      <c r="B7" s="18">
        <f>-MAX(Forecast!F9,0)*B6</f>
        <v>-902569920.451744</v>
      </c>
    </row>
    <row r="8" spans="1:2" x14ac:dyDescent="0.25">
      <c r="A8" t="s">
        <v>59</v>
      </c>
      <c r="B8" s="18">
        <f>IF(OR(Assumptions!$B$33=0,Assumptions!B12&lt;=0),B5,MAX(B5+B7,0))</f>
        <v>2457882753.6629753</v>
      </c>
    </row>
    <row r="9" spans="1:2" x14ac:dyDescent="0.25">
      <c r="A9" t="s">
        <v>60</v>
      </c>
      <c r="B9" s="18">
        <f>B8*(1+Assumptions!B12)/(Assumptions!B26-Assumptions!B12)</f>
        <v>37005366738.52149</v>
      </c>
    </row>
    <row r="10" spans="1:2" x14ac:dyDescent="0.25">
      <c r="A10" t="s">
        <v>61</v>
      </c>
      <c r="B10" s="18">
        <f>B9/(1+Assumptions!B26)^(5-0.5*Assumptions!B32)</f>
        <v>24793094218.76821</v>
      </c>
    </row>
    <row r="11" spans="1:2" x14ac:dyDescent="0.25">
      <c r="A11" t="s">
        <v>62</v>
      </c>
      <c r="B11" s="18">
        <f>Forecast!B17+B10</f>
        <v>36096973338.587746</v>
      </c>
    </row>
    <row r="12" spans="1:2" x14ac:dyDescent="0.25">
      <c r="A12" t="s">
        <v>63</v>
      </c>
      <c r="B12" s="18">
        <f>-Assumptions!B30</f>
        <v>-13808000000</v>
      </c>
    </row>
    <row r="13" spans="1:2" x14ac:dyDescent="0.25">
      <c r="A13" t="s">
        <v>64</v>
      </c>
      <c r="B13" s="18">
        <f>B11+B12</f>
        <v>22288973338.587746</v>
      </c>
    </row>
    <row r="14" spans="1:2" x14ac:dyDescent="0.25">
      <c r="A14" s="19" t="s">
        <v>65</v>
      </c>
      <c r="B14" s="24">
        <f>B13/Assumptions!B31</f>
        <v>128.4667051215432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4249481658.7909155</v>
      </c>
    </row>
    <row r="18" spans="1:2" x14ac:dyDescent="0.25">
      <c r="A18" t="s">
        <v>60</v>
      </c>
      <c r="B18" s="18">
        <f>B17*Assumptions!B13</f>
        <v>71415981794.57336</v>
      </c>
    </row>
    <row r="19" spans="1:2" x14ac:dyDescent="0.25">
      <c r="A19" t="s">
        <v>61</v>
      </c>
      <c r="B19" s="18">
        <f>B18/(1+Assumptions!B26)^(5-0.5*Assumptions!B32)</f>
        <v>47847739974.30828</v>
      </c>
    </row>
    <row r="20" spans="1:2" x14ac:dyDescent="0.25">
      <c r="A20" t="s">
        <v>62</v>
      </c>
      <c r="B20" s="18">
        <f>Forecast!B17+B19</f>
        <v>59151619094.127815</v>
      </c>
    </row>
    <row r="21" spans="1:2" x14ac:dyDescent="0.25">
      <c r="A21" t="s">
        <v>63</v>
      </c>
      <c r="B21" s="18">
        <f>-Assumptions!B30</f>
        <v>-13808000000</v>
      </c>
    </row>
    <row r="22" spans="1:2" x14ac:dyDescent="0.25">
      <c r="A22" t="s">
        <v>64</v>
      </c>
      <c r="B22" s="18">
        <f>B20+B21</f>
        <v>45343619094.127815</v>
      </c>
    </row>
    <row r="23" spans="1:2" x14ac:dyDescent="0.25">
      <c r="A23" s="19" t="s">
        <v>65</v>
      </c>
      <c r="B23" s="25">
        <f>B22/Assumptions!B31</f>
        <v>261.3465077471344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266.42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128.4667051215432</v>
      </c>
    </row>
    <row r="29" spans="1:2" x14ac:dyDescent="0.25">
      <c r="A29" s="19" t="s">
        <v>73</v>
      </c>
      <c r="B29" s="12">
        <f>B28/B26-1</f>
        <v>-0.5178038243317198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0.07308</v>
      </c>
      <c r="B5" s="31">
        <v>191.99457687770428</v>
      </c>
      <c r="C5" s="31">
        <v>196.5004637123627</v>
      </c>
      <c r="D5" s="31">
        <v>201.77299339125383</v>
      </c>
      <c r="E5" s="31">
        <v>208.07910283785702</v>
      </c>
      <c r="F5" s="31">
        <v>215.8259269396643</v>
      </c>
    </row>
    <row r="6" spans="1:6" x14ac:dyDescent="0.25">
      <c r="A6" s="30">
        <v>0.08308</v>
      </c>
      <c r="B6" s="31">
        <v>153.49564138315677</v>
      </c>
      <c r="C6" s="31">
        <v>154.86035580099065</v>
      </c>
      <c r="D6" s="31">
        <v>156.32465083650106</v>
      </c>
      <c r="E6" s="31">
        <v>157.91666720681573</v>
      </c>
      <c r="F6" s="31">
        <v>159.67625141821742</v>
      </c>
    </row>
    <row r="7" spans="1:6" x14ac:dyDescent="0.25">
      <c r="A7" s="30">
        <v>0.09308</v>
      </c>
      <c r="B7" s="31">
        <v>127.07283232125741</v>
      </c>
      <c r="C7" s="31">
        <v>127.7699051707122</v>
      </c>
      <c r="D7" s="32">
        <v>128.4669780201669</v>
      </c>
      <c r="E7" s="31">
        <v>129.16405086962166</v>
      </c>
      <c r="F7" s="31">
        <v>129.86112371907637</v>
      </c>
    </row>
    <row r="8" spans="1:6" x14ac:dyDescent="0.25">
      <c r="A8" s="30">
        <v>0.10308</v>
      </c>
      <c r="B8" s="31">
        <v>106.80847080667888</v>
      </c>
      <c r="C8" s="31">
        <v>107.41264525175608</v>
      </c>
      <c r="D8" s="31">
        <v>108.01681969683324</v>
      </c>
      <c r="E8" s="31">
        <v>108.62099414191043</v>
      </c>
      <c r="F8" s="31">
        <v>109.22516858698759</v>
      </c>
    </row>
    <row r="9" spans="1:6" x14ac:dyDescent="0.25">
      <c r="A9" s="30">
        <v>0.11308</v>
      </c>
      <c r="B9" s="31">
        <v>90.159786965148</v>
      </c>
      <c r="C9" s="31">
        <v>90.68861418591159</v>
      </c>
      <c r="D9" s="31">
        <v>91.21744140667514</v>
      </c>
      <c r="E9" s="31">
        <v>91.74626862743868</v>
      </c>
      <c r="F9" s="31">
        <v>92.27509584820218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16310000000</v>
      </c>
      <c r="C5" s="18">
        <v>15405000000</v>
      </c>
      <c r="D5" s="18">
        <v>14984000000</v>
      </c>
      <c r="E5" s="18">
        <v>14410000000</v>
      </c>
      <c r="F5" s="8" t="s">
        <v>84</v>
      </c>
    </row>
    <row r="6" spans="1:6" x14ac:dyDescent="0.25">
      <c r="A6" t="s">
        <v>44</v>
      </c>
      <c r="B6" s="18">
        <v>2287000000</v>
      </c>
      <c r="C6" s="18">
        <v>2269000000</v>
      </c>
      <c r="D6" s="18">
        <v>2061000000</v>
      </c>
      <c r="E6" s="18">
        <v>1827000000</v>
      </c>
      <c r="F6" s="8" t="s">
        <v>85</v>
      </c>
    </row>
    <row r="7" spans="1:6" x14ac:dyDescent="0.25">
      <c r="A7" t="s">
        <v>86</v>
      </c>
      <c r="B7" s="18">
        <v>1144000000</v>
      </c>
      <c r="C7" s="18">
        <v>1114000000</v>
      </c>
      <c r="D7" s="18">
        <v>1125000000</v>
      </c>
      <c r="E7" s="18">
        <v>1130000000</v>
      </c>
      <c r="F7" s="8" t="s">
        <v>87</v>
      </c>
    </row>
    <row r="8" spans="1:6" x14ac:dyDescent="0.25">
      <c r="A8" t="s">
        <v>88</v>
      </c>
      <c r="B8" s="18">
        <v>603000000</v>
      </c>
      <c r="C8" s="18">
        <v>602000000</v>
      </c>
      <c r="D8" s="18">
        <v>649000000</v>
      </c>
      <c r="E8" s="18">
        <v>674000000</v>
      </c>
      <c r="F8" s="8" t="s">
        <v>89</v>
      </c>
    </row>
    <row r="9" spans="1:6" x14ac:dyDescent="0.25">
      <c r="A9" t="s">
        <v>90</v>
      </c>
      <c r="B9" s="18">
        <v>-125000000</v>
      </c>
      <c r="C9" s="18">
        <v>-158000000</v>
      </c>
      <c r="D9" s="18">
        <v>280000000</v>
      </c>
      <c r="E9" s="18">
        <v>84000000</v>
      </c>
      <c r="F9" s="8" t="s">
        <v>91</v>
      </c>
    </row>
    <row r="10" spans="1:6" x14ac:dyDescent="0.25">
      <c r="A10" t="s">
        <v>92</v>
      </c>
      <c r="B10" s="18">
        <v>15949000000</v>
      </c>
      <c r="C10" s="18">
        <v>14156000000</v>
      </c>
      <c r="D10" s="18">
        <v>13896000000</v>
      </c>
      <c r="E10" s="18">
        <v>13011000000</v>
      </c>
      <c r="F10" s="8" t="s">
        <v>93</v>
      </c>
    </row>
    <row r="11" spans="1:6" x14ac:dyDescent="0.25">
      <c r="A11" t="s">
        <v>94</v>
      </c>
      <c r="B11" s="18">
        <v>2141000000</v>
      </c>
      <c r="C11" s="18">
        <v>1843000000</v>
      </c>
      <c r="D11" s="18">
        <v>1496000000</v>
      </c>
      <c r="E11" s="18">
        <v>1309000000</v>
      </c>
      <c r="F11" s="8" t="s">
        <v>95</v>
      </c>
    </row>
    <row r="12" spans="1:6" x14ac:dyDescent="0.25">
      <c r="A12" t="s">
        <v>32</v>
      </c>
      <c r="B12" s="34">
        <v>173500000</v>
      </c>
      <c r="C12" s="34">
        <v>183400000</v>
      </c>
      <c r="D12" s="34">
        <v>186300000</v>
      </c>
      <c r="E12" s="34">
        <v>190600000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