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<sst xmlns="http://schemas.openxmlformats.org/spreadsheetml/2006/main" count="119" uniqueCount="106">
  <si>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IQVIA Holdings Inc. (IQV)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</si>
  <si>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</si>
  <si>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</si>
  <si>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</si>
  <si>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</si>
  <si>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</si>
  <si>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</si>
  <si>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</si>
  <si>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</si>
  <si>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</si>
  <si>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</si>
  <si>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</si>
  <si>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</si>
  <si>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</si>
  <si>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</si>
  <si>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</si>
  <si>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</si>
  <si>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</si>
  <si>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</si>
  <si>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</si>
  <si>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</si>
  <si>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</si>
  <si>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</si>
  <si>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</si>
  <si>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3.1x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</si>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</sst>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0.07159466584917218</v>
      </c>
    </row>
    <row r="7" spans="1:2" x14ac:dyDescent="0.25">
      <c r="A7" t="s">
        <v>4</v>
      </c>
      <c r="B7" s="5">
        <v>0.1379610586113403</v>
      </c>
    </row>
    <row r="8" spans="1:2" x14ac:dyDescent="0.25">
      <c r="A8" t="s">
        <v>5</v>
      </c>
      <c r="B8" s="5">
        <v>0.16936923128487497</v>
      </c>
    </row>
    <row r="9" spans="1:2" x14ac:dyDescent="0.25">
      <c r="A9" t="s">
        <v>6</v>
      </c>
      <c r="B9" s="5">
        <v>0.07398826308805262</v>
      </c>
    </row>
    <row r="10" spans="1:3" x14ac:dyDescent="0.25">
      <c r="A10" t="s">
        <v>7</v>
      </c>
      <c r="B10" s="5">
        <v>0.04153383649800068</v>
      </c>
      <c r="C10" s="6" t="s">
        <v>8</v>
      </c>
    </row>
    <row r="11" spans="1:2" x14ac:dyDescent="0.25">
      <c r="A11" t="s">
        <v>9</v>
      </c>
      <c r="B11" s="5">
        <v>0.04922737850746556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16.865048697172835</v>
      </c>
    </row>
    <row r="14" spans="1:3" x14ac:dyDescent="0.25">
      <c r="A14" t="s">
        <v>12</v>
      </c>
      <c r="B14" s="5">
        <v>0.08599632635529723</v>
      </c>
      <c r="C14" s="6" t="s">
        <v>13</v>
      </c>
    </row>
    <row r="15" spans="1:3" x14ac:dyDescent="0.25">
      <c r="A15" t="s">
        <v>14</v>
      </c>
      <c r="B15" s="5">
        <v>0.010165733309781043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1.11658</v>
      </c>
      <c r="C19" s="6" t="s">
        <v>21</v>
      </c>
    </row>
    <row r="20" spans="1:2" x14ac:dyDescent="0.25">
      <c r="A20" t="s">
        <v>22</v>
      </c>
      <c r="B20" s="9">
        <f>B17+B19*B18</f>
        <v>0.096171334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44055982080</v>
      </c>
    </row>
    <row r="23" spans="1:2" x14ac:dyDescent="0.25">
      <c r="A23" t="s">
        <v>26</v>
      </c>
      <c r="B23" s="10">
        <v>15949000000</v>
      </c>
    </row>
    <row r="24" spans="1:2" x14ac:dyDescent="0.25">
      <c r="A24" t="s">
        <v>27</v>
      </c>
      <c r="B24" s="9">
        <f>B22/(B22+B23)</f>
        <v>0.7342054034990556</v>
      </c>
    </row>
    <row r="25" spans="1:2" x14ac:dyDescent="0.25">
      <c r="A25" t="s">
        <v>28</v>
      </c>
      <c r="B25" s="9">
        <f>1-B24</f>
        <v>0.2657945965009444</v>
      </c>
    </row>
    <row r="26" spans="1:2" x14ac:dyDescent="0.25">
      <c r="A26" t="s">
        <v>29</v>
      </c>
      <c r="B26" s="11">
        <f>B24*B20+B25*B21*(1-B8)</f>
        <v>0.08337926459800107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16310000000</v>
      </c>
      <c r="C29" s="6" t="s">
        <v>32</v>
      </c>
    </row>
    <row r="30" spans="1:2" x14ac:dyDescent="0.25">
      <c r="A30" t="s">
        <v>33</v>
      </c>
      <c r="B30" s="10">
        <v>13808000000</v>
      </c>
    </row>
    <row r="31" spans="1:2" x14ac:dyDescent="0.25">
      <c r="A31" t="s">
        <v>34</v>
      </c>
      <c r="B31" s="12">
        <v>173500000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0.07159466584917218</v>
      </c>
      <c r="C5" s="5">
        <v>0.06393896133640853</v>
      </c>
      <c r="D5" s="5">
        <v>0.059071591169357465</v>
      </c>
      <c r="E5" s="5">
        <v>0.054204221002306395</v>
      </c>
      <c r="F5" s="5">
        <v>0.04933685083525533</v>
      </c>
      <c r="G5" s="5">
        <v>0.04446948066820426</v>
      </c>
      <c r="H5" s="5">
        <v>0.0396021105011532</v>
      </c>
      <c r="I5" s="5">
        <v>0.034734740334102135</v>
      </c>
      <c r="J5" s="5">
        <v>0.029867370167051065</v>
      </c>
      <c r="K5" s="5">
        <v>0.025</v>
      </c>
    </row>
    <row r="6" spans="1:11" x14ac:dyDescent="0.25">
      <c r="A6" t="s">
        <v>50</v>
      </c>
      <c r="B6" s="18">
        <f>Assumptions!B29*(1+B5)</f>
        <v>17477709000</v>
      </c>
      <c r="C6" s="18">
        <f>B6*(1+C5)</f>
        <v>18595215560</v>
      </c>
      <c r="D6" s="18">
        <f>C6*(1+D5)</f>
        <v>19693664531.266396</v>
      </c>
      <c r="E6" s="18">
        <f>D6*(1+E5)</f>
        <v>20761144275.86444</v>
      </c>
      <c r="F6" s="18">
        <f>E6*(1+F5)</f>
        <v>21785433754.17198</v>
      </c>
      <c r="G6" s="18">
        <f>F6*(1+G5)</f>
        <v>22754220679.351578</v>
      </c>
      <c r="H6" s="18">
        <f>G6*(1+H5)</f>
        <v>23655335841.062885</v>
      </c>
      <c r="I6" s="18">
        <f>H6*(1+I5)</f>
        <v>24476997789.01818</v>
      </c>
      <c r="J6" s="18">
        <f>I6*(1+J5)</f>
        <v>25208061342.56088</v>
      </c>
      <c r="K6" s="18">
        <f>J6*(1+K5)</f>
        <v>25838262876.124897</v>
      </c>
    </row>
    <row r="7" spans="1:11" x14ac:dyDescent="0.25">
      <c r="A7" t="s">
        <v>4</v>
      </c>
      <c r="B7" s="9">
        <f>Assumptions!B7</f>
        <v>0.1379610586113403</v>
      </c>
      <c r="C7" s="9">
        <f>Assumptions!B7</f>
        <v>0.1379610586113403</v>
      </c>
      <c r="D7" s="9">
        <f>Assumptions!B7</f>
        <v>0.1379610586113403</v>
      </c>
      <c r="E7" s="9">
        <f>Assumptions!B7</f>
        <v>0.1379610586113403</v>
      </c>
      <c r="F7" s="9">
        <f>Assumptions!B7</f>
        <v>0.1379610586113403</v>
      </c>
      <c r="G7" s="9">
        <f>Assumptions!B7</f>
        <v>0.1379610586113403</v>
      </c>
      <c r="H7" s="9">
        <f>Assumptions!B7</f>
        <v>0.1379610586113403</v>
      </c>
      <c r="I7" s="9">
        <f>Assumptions!B7</f>
        <v>0.1379610586113403</v>
      </c>
      <c r="J7" s="9">
        <f>Assumptions!B7</f>
        <v>0.1379610586113403</v>
      </c>
      <c r="K7" s="9">
        <f>Assumptions!B7</f>
        <v>0.1379610586113403</v>
      </c>
    </row>
    <row r="8" spans="1:11" x14ac:dyDescent="0.25">
      <c r="A8" t="s">
        <v>51</v>
      </c>
      <c r="B8" s="18">
        <f>B6*B7</f>
        <v>2411243235.74095</v>
      </c>
      <c r="C8" s="18">
        <f>C6*C7</f>
        <v>2565415623.763667</v>
      </c>
      <c r="D8" s="18">
        <f>D6*D7</f>
        <v>2716958806.670117</v>
      </c>
      <c r="E8" s="18">
        <f>E6*E7</f>
        <v>2864229442.2810264</v>
      </c>
      <c r="F8" s="18">
        <f>F6*F7</f>
        <v>3005541503.0327926</v>
      </c>
      <c r="G8" s="18">
        <f>G6*G7</f>
        <v>3139196372.7993946</v>
      </c>
      <c r="H8" s="18">
        <f>H6*H7</f>
        <v>3263515174.439816</v>
      </c>
      <c r="I8" s="18">
        <f>I6*I7</f>
        <v>3376872526.600384</v>
      </c>
      <c r="J8" s="18">
        <f>J6*J7</f>
        <v>3477730828.3593035</v>
      </c>
      <c r="K8" s="18">
        <f>K6*K7</f>
        <v>3564674099.0682855</v>
      </c>
    </row>
    <row r="9" spans="1:11" x14ac:dyDescent="0.25">
      <c r="A9" t="s">
        <v>52</v>
      </c>
      <c r="B9" s="18">
        <f>B8*(1-Assumptions!B8)</f>
        <v>2002852822.462651</v>
      </c>
      <c r="C9" s="18">
        <f>C8*(1-Assumptions!B8)</f>
        <v>2130913151.6406069</v>
      </c>
      <c r="D9" s="18">
        <f>D8*(1-Assumptions!B8)</f>
        <v>2256789582.151728</v>
      </c>
      <c r="E9" s="18">
        <f>E8*(1-Assumptions!B8)</f>
        <v>2379117103.418383</v>
      </c>
      <c r="F9" s="18">
        <f>F8*(1-Assumptions!B8)</f>
        <v>2496495249.069341</v>
      </c>
      <c r="G9" s="18">
        <f>G8*(1-Assumptions!B8)</f>
        <v>2607513096.2860937</v>
      </c>
      <c r="H9" s="18">
        <f>H8*(1-Assumptions!B8)</f>
        <v>2710776118.0584197</v>
      </c>
      <c r="I9" s="18">
        <f>I8*(1-Assumptions!B8)</f>
        <v>2804934222.623064</v>
      </c>
      <c r="J9" s="18">
        <f>J8*(1-Assumptions!B8)</f>
        <v>2888710231.344377</v>
      </c>
      <c r="K9" s="18">
        <f>K8*(1-Assumptions!B8)</f>
        <v>2960927987.127986</v>
      </c>
    </row>
    <row r="10" spans="1:11" x14ac:dyDescent="0.25">
      <c r="A10" t="s">
        <v>53</v>
      </c>
      <c r="B10" s="18">
        <f>B6*Assumptions!B9</f>
        <v>1293145331.668425</v>
      </c>
      <c r="C10" s="18">
        <f>C6*Assumptions!B9</f>
        <v>1375827701.0323298</v>
      </c>
      <c r="D10" s="18">
        <f>D6*Assumptions!B9</f>
        <v>1457100032.5071886</v>
      </c>
      <c r="E10" s="18">
        <f>E6*Assumptions!B9</f>
        <v>1536081004.691676</v>
      </c>
      <c r="F10" s="18">
        <f>F6*Assumptions!B9</f>
        <v>1611866404.0910184</v>
      </c>
      <c r="G10" s="18">
        <f>G6*Assumptions!B9</f>
        <v>1683545265.9874718</v>
      </c>
      <c r="H10" s="18">
        <f>H6*Assumptions!B9</f>
        <v>1750217211.6448011</v>
      </c>
      <c r="I10" s="18">
        <f>I6*Assumptions!B9</f>
        <v>1811010552.0195594</v>
      </c>
      <c r="J10" s="18">
        <f>J6*Assumptions!B9</f>
        <v>1865100674.5531633</v>
      </c>
      <c r="K10" s="18">
        <f>K6*Assumptions!B9</f>
        <v>1911728191.416992</v>
      </c>
    </row>
    <row r="11" spans="1:11" x14ac:dyDescent="0.25">
      <c r="A11" t="s">
        <v>54</v>
      </c>
      <c r="B11" s="18">
        <f>-B6*B19</f>
        <v>-725916307.965635</v>
      </c>
      <c r="C11" s="18">
        <f>-C6*C19</f>
        <v>-808192826.5594078</v>
      </c>
      <c r="D11" s="18">
        <f>-D6*D19</f>
        <v>-893914682.9037716</v>
      </c>
      <c r="E11" s="18">
        <f>-E6*E19</f>
        <v>-982407961.9670632</v>
      </c>
      <c r="F11" s="18">
        <f>-F6*F19</f>
        <v>-1072891621.5333979</v>
      </c>
      <c r="G11" s="18">
        <f>-G6*G19</f>
        <v>-1164485673.111416</v>
      </c>
      <c r="H11" s="18">
        <f>-H6*H19</f>
        <v>-1256222745.8723807</v>
      </c>
      <c r="I11" s="18">
        <f>-I6*I19</f>
        <v>-1347062932.1888912</v>
      </c>
      <c r="J11" s="18">
        <f>-J6*J19</f>
        <v>-1435911682.4499466</v>
      </c>
      <c r="K11" s="18">
        <f>-K6*K19</f>
        <v>-1521640385.613928</v>
      </c>
    </row>
    <row r="12" spans="1:11" x14ac:dyDescent="0.25">
      <c r="A12" t="s">
        <v>55</v>
      </c>
      <c r="B12" s="18">
        <f>-(B6-Assumptions!B29)*Assumptions!B11</f>
        <v>-57483252.9295741</v>
      </c>
      <c r="C12" s="18">
        <f>-(C6-B6)*Assumptions!B11</f>
        <v>-55011918.41369577</v>
      </c>
      <c r="D12" s="18">
        <f>-(D6-C6)*Assumptions!B11</f>
        <v>-54073763.27966701</v>
      </c>
      <c r="E12" s="18">
        <f>-(E6-D6)*Assumptions!B11</f>
        <v>-52549229.43638064</v>
      </c>
      <c r="F12" s="18">
        <f>-(F6-E6)*Assumptions!B11</f>
        <v>-50423085.849859744</v>
      </c>
      <c r="G12" s="18">
        <f>-(G6-F6)*Assumptions!B11</f>
        <v>-47690840.65889969</v>
      </c>
      <c r="H12" s="18">
        <f>-(H6-G6)*Assumptions!B11</f>
        <v>-44359537.14437857</v>
      </c>
      <c r="I12" s="18">
        <f>-(I6-H6)*Assumptions!B11</f>
        <v>-40448263.7171768</v>
      </c>
      <c r="J12" s="18">
        <f>-(J6-I6)*Assumptions!B11</f>
        <v>-35988342.2632592</v>
      </c>
      <c r="K12" s="18">
        <f>-(K6-J6)*Assumptions!B11</f>
        <v>-31023169.428741187</v>
      </c>
    </row>
    <row r="13" spans="1:11" x14ac:dyDescent="0.25">
      <c r="A13" s="19" t="s">
        <v>56</v>
      </c>
      <c r="B13" s="20">
        <f>B9+B10+B11+B12</f>
        <v>2512598593.235867</v>
      </c>
      <c r="C13" s="20">
        <f>C9+C10+C11+C12</f>
        <v>2643536107.699833</v>
      </c>
      <c r="D13" s="20">
        <f>D9+D10+D11+D12</f>
        <v>2765901168.475478</v>
      </c>
      <c r="E13" s="20">
        <f>E9+E10+E11+E12</f>
        <v>2880240916.706615</v>
      </c>
      <c r="F13" s="20">
        <f>F9+F10+F11+F12</f>
        <v>2985046945.777102</v>
      </c>
      <c r="G13" s="20">
        <f>G9+G10+G11+G12</f>
        <v>3078881848.5032496</v>
      </c>
      <c r="H13" s="20">
        <f>H9+H10+H11+H12</f>
        <v>3160411046.686461</v>
      </c>
      <c r="I13" s="20">
        <f>I9+I10+I11+I12</f>
        <v>3228433578.7365556</v>
      </c>
      <c r="J13" s="20">
        <f>J9+J10+J11+J12</f>
        <v>3281910881.1843343</v>
      </c>
      <c r="K13" s="20">
        <f>K9+K10+K11+K12</f>
        <v>3319992623.5023093</v>
      </c>
    </row>
    <row r="14" spans="1:11" x14ac:dyDescent="0.25">
      <c r="A14" t="s">
        <v>57</v>
      </c>
      <c r="B14" s="21">
        <f>1/(1+Assumptions!$B$26)^(1-0.5*Assumptions!$B$32)</f>
        <v>0.9607485560943015</v>
      </c>
      <c r="C14" s="21">
        <f>1/(1+Assumptions!$B$26)^(2-0.5*Assumptions!$B$32)</f>
        <v>0.8868072220773</v>
      </c>
      <c r="D14" s="21">
        <f>1/(1+Assumptions!$B$26)^(3-0.5*Assumptions!$B$32)</f>
        <v>0.8185565766817209</v>
      </c>
      <c r="E14" s="21">
        <f>1/(1+Assumptions!$B$26)^(4-0.5*Assumptions!$B$32)</f>
        <v>0.7555586519236682</v>
      </c>
      <c r="F14" s="21">
        <f>1/(1+Assumptions!$B$26)^(5-0.5*Assumptions!$B$32)</f>
        <v>0.6974091868040561</v>
      </c>
      <c r="G14" s="21">
        <f>1/(1+Assumptions!$B$26)^(6-0.5*Assumptions!$B$32)</f>
        <v>0.643735033144498</v>
      </c>
      <c r="H14" s="21">
        <f>1/(1+Assumptions!$B$26)^(7-0.5*Assumptions!$B$32)</f>
        <v>0.5941917610758061</v>
      </c>
      <c r="I14" s="21">
        <f>1/(1+Assumptions!$B$26)^(8-0.5*Assumptions!$B$32)</f>
        <v>0.5484614488133912</v>
      </c>
      <c r="J14" s="21">
        <f>1/(1+Assumptions!$B$26)^(9-0.5*Assumptions!$B$32)</f>
        <v>0.5062506425364375</v>
      </c>
      <c r="K14" s="21">
        <f>1/(1+Assumptions!$B$26)^(10-0.5*Assumptions!$B$32)</f>
        <v>0.4672884732792877</v>
      </c>
    </row>
    <row r="15" spans="1:11" x14ac:dyDescent="0.25">
      <c r="A15" s="19" t="s">
        <v>58</v>
      </c>
      <c r="B15" s="20">
        <f>B13*B14</f>
        <v>2413975470.4959326</v>
      </c>
      <c r="C15" s="20">
        <f>C13*C14</f>
        <v>2344306912.130327</v>
      </c>
      <c r="D15" s="20">
        <f>D13*D14</f>
        <v>2264046591.907259</v>
      </c>
      <c r="E15" s="20">
        <f>E13*E14</f>
        <v>2176190944.2422404</v>
      </c>
      <c r="F15" s="20">
        <f>F13*F14</f>
        <v>2081799163.02634</v>
      </c>
      <c r="G15" s="20">
        <f>G13*G14</f>
        <v>1981984108.7942326</v>
      </c>
      <c r="H15" s="20">
        <f>H13*H14</f>
        <v>1877890205.5540597</v>
      </c>
      <c r="I15" s="20">
        <f>I13*I14</f>
        <v>1770671357.9916527</v>
      </c>
      <c r="J15" s="20">
        <f>J13*J14</f>
        <v>1661469492.346895</v>
      </c>
      <c r="K15" s="20">
        <f>K13*K14</f>
        <v>1551394284.334891</v>
      </c>
    </row>
    <row r="17" spans="1:2" x14ac:dyDescent="0.25">
      <c r="A17" s="22" t="s">
        <v>59</v>
      </c>
      <c r="B17" s="23">
        <f>SUM(B15:K15)</f>
        <v>20123728530.823833</v>
      </c>
    </row>
    <row r="19" spans="1:11" x14ac:dyDescent="0.25">
      <c r="A19" t="s">
        <v>7</v>
      </c>
      <c r="B19" s="9">
        <f>Assumptions!$B$10+($B$20-Assumptions!$B$10)*0/9</f>
        <v>0.04153383649800068</v>
      </c>
      <c r="C19" s="9">
        <f>Assumptions!$B$10+($B$20-Assumptions!$B$10)*1/9</f>
        <v>0.0434624069805302</v>
      </c>
      <c r="D19" s="9">
        <f>Assumptions!$B$10+($B$20-Assumptions!$B$10)*2/9</f>
        <v>0.04539097746305973</v>
      </c>
      <c r="E19" s="9">
        <f>Assumptions!$B$10+($B$20-Assumptions!$B$10)*3/9</f>
        <v>0.04731954794558925</v>
      </c>
      <c r="F19" s="9">
        <f>Assumptions!$B$10+($B$20-Assumptions!$B$10)*4/9</f>
        <v>0.04924811842811877</v>
      </c>
      <c r="G19" s="9">
        <f>Assumptions!$B$10+($B$20-Assumptions!$B$10)*5/9</f>
        <v>0.0511766889106483</v>
      </c>
      <c r="H19" s="9">
        <f>Assumptions!$B$10+($B$20-Assumptions!$B$10)*6/9</f>
        <v>0.05310525939317782</v>
      </c>
      <c r="I19" s="9">
        <f>Assumptions!$B$10+($B$20-Assumptions!$B$10)*7/9</f>
        <v>0.05503382987570734</v>
      </c>
      <c r="J19" s="9">
        <f>Assumptions!$B$10+($B$20-Assumptions!$B$10)*8/9</f>
        <v>0.05696240035823687</v>
      </c>
      <c r="K19" s="9">
        <f>Assumptions!$B$10+($B$20-Assumptions!$B$10)*9/9</f>
        <v>0.05889097084076639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0.05889097084076639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3319992623.5023093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4330690705.187182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0.29071009262316055</v>
      </c>
    </row>
    <row r="7" spans="1:2" x14ac:dyDescent="0.25">
      <c r="A7" t="s">
        <v>66</v>
      </c>
      <c r="B7" s="18">
        <f>-MAX(B5,0)*B6</f>
        <v>-1258975496.0272262</v>
      </c>
    </row>
    <row r="8" spans="1:2" x14ac:dyDescent="0.25">
      <c r="A8" t="s">
        <v>67</v>
      </c>
      <c r="B8" s="18">
        <f>IF(OR(Assumptions!$B$33=0,Assumptions!B12&lt;=0),B5,MAX(B5+B7,0))</f>
        <v>3071715209.159956</v>
      </c>
    </row>
    <row r="9" spans="1:2" x14ac:dyDescent="0.25">
      <c r="A9" t="s">
        <v>68</v>
      </c>
      <c r="B9" s="18">
        <f>B8*(1+Assumptions!B12)/(Assumptions!B26-Assumptions!B12)</f>
        <v>53931958736.88277</v>
      </c>
    </row>
    <row r="10" spans="1:2" x14ac:dyDescent="0.25">
      <c r="A10" t="s">
        <v>69</v>
      </c>
      <c r="B10" s="18">
        <f>B9/(1+Assumptions!B26)^(10-0.5*Assumptions!B32)</f>
        <v>25201782659.119488</v>
      </c>
    </row>
    <row r="11" spans="1:2" x14ac:dyDescent="0.25">
      <c r="A11" t="s">
        <v>70</v>
      </c>
      <c r="B11" s="18">
        <f>Forecast!B17+B10</f>
        <v>45325511189.94332</v>
      </c>
    </row>
    <row r="12" spans="1:2" x14ac:dyDescent="0.25">
      <c r="A12" t="s">
        <v>71</v>
      </c>
      <c r="B12" s="18">
        <f>-Assumptions!B30</f>
        <v>-13808000000</v>
      </c>
    </row>
    <row r="13" spans="1:2" x14ac:dyDescent="0.25">
      <c r="A13" t="s">
        <v>72</v>
      </c>
      <c r="B13" s="18">
        <f>B11+B12</f>
        <v>31517511189.94332</v>
      </c>
    </row>
    <row r="14" spans="1:2" x14ac:dyDescent="0.25">
      <c r="A14" s="19" t="s">
        <v>73</v>
      </c>
      <c r="B14" s="24">
        <f>B13/Assumptions!B31</f>
        <v>181.65712501408254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5476402290.485277</v>
      </c>
    </row>
    <row r="18" spans="1:2" x14ac:dyDescent="0.25">
      <c r="A18" t="s">
        <v>68</v>
      </c>
      <c r="B18" s="18">
        <f>B17*Assumptions!B13</f>
        <v>92359791314.34305</v>
      </c>
    </row>
    <row r="19" spans="1:2" x14ac:dyDescent="0.25">
      <c r="A19" t="s">
        <v>69</v>
      </c>
      <c r="B19" s="18">
        <f>B18/(1+Assumptions!B26)^(10-0.5*Assumptions!B32)</f>
        <v>43158665875.67298</v>
      </c>
    </row>
    <row r="20" spans="1:2" x14ac:dyDescent="0.25">
      <c r="A20" t="s">
        <v>70</v>
      </c>
      <c r="B20" s="18">
        <f>Forecast!B17+B19</f>
        <v>63282394406.49681</v>
      </c>
    </row>
    <row r="21" spans="1:2" x14ac:dyDescent="0.25">
      <c r="A21" t="s">
        <v>71</v>
      </c>
      <c r="B21" s="18">
        <f>-Assumptions!B30</f>
        <v>-13808000000</v>
      </c>
    </row>
    <row r="22" spans="1:2" x14ac:dyDescent="0.25">
      <c r="A22" t="s">
        <v>72</v>
      </c>
      <c r="B22" s="18">
        <f>B20+B21</f>
        <v>49474394406.49681</v>
      </c>
    </row>
    <row r="23" spans="1:2" x14ac:dyDescent="0.25">
      <c r="A23" s="19" t="s">
        <v>73</v>
      </c>
      <c r="B23" s="25">
        <f>B22/Assumptions!B31</f>
        <v>285.15501098845425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267.33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181.65712501408254</v>
      </c>
    </row>
    <row r="29" spans="1:2" x14ac:dyDescent="0.25">
      <c r="A29" s="19" t="s">
        <v>81</v>
      </c>
      <c r="B29" s="11">
        <f>B28/B26-1</f>
        <v>-0.32047609690613643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0.063379</v>
      </c>
      <c r="B5" s="31">
        <v>296.8606030579372</v>
      </c>
      <c r="C5" s="31">
        <v>302.57356335861044</v>
      </c>
      <c r="D5" s="31">
        <v>310.7037109673603</v>
      </c>
      <c r="E5" s="31">
        <v>322.3372920156213</v>
      </c>
      <c r="F5" s="31">
        <v>339.32608075874657</v>
      </c>
    </row>
    <row r="6" spans="1:6" x14ac:dyDescent="0.25">
      <c r="A6" s="30">
        <v>0.073379</v>
      </c>
      <c r="B6" s="31">
        <v>232.55577045544663</v>
      </c>
      <c r="C6" s="31">
        <v>232.40730767195626</v>
      </c>
      <c r="D6" s="31">
        <v>232.92416378173635</v>
      </c>
      <c r="E6" s="31">
        <v>234.33639903050627</v>
      </c>
      <c r="F6" s="31">
        <v>236.99396227271356</v>
      </c>
    </row>
    <row r="7" spans="1:6" x14ac:dyDescent="0.25">
      <c r="A7" s="30">
        <v>0.083379</v>
      </c>
      <c r="B7" s="31">
        <v>187.062989758908</v>
      </c>
      <c r="C7" s="31">
        <v>184.3226173092406</v>
      </c>
      <c r="D7" s="32">
        <v>181.65825077287604</v>
      </c>
      <c r="E7" s="31">
        <v>179.09124852482248</v>
      </c>
      <c r="F7" s="31">
        <v>176.6517985459115</v>
      </c>
    </row>
    <row r="8" spans="1:6" x14ac:dyDescent="0.25">
      <c r="A8" s="30">
        <v>0.093379</v>
      </c>
      <c r="B8" s="31">
        <v>155.95499929174787</v>
      </c>
      <c r="C8" s="31">
        <v>153.1797527351061</v>
      </c>
      <c r="D8" s="31">
        <v>150.40450617846426</v>
      </c>
      <c r="E8" s="31">
        <v>147.62925962182243</v>
      </c>
      <c r="F8" s="31">
        <v>144.85401306518062</v>
      </c>
    </row>
    <row r="9" spans="1:6" x14ac:dyDescent="0.25">
      <c r="A9" s="30">
        <v>0.103379</v>
      </c>
      <c r="B9" s="31">
        <v>132.00743294321774</v>
      </c>
      <c r="C9" s="31">
        <v>129.6329526127982</v>
      </c>
      <c r="D9" s="31">
        <v>127.25847228237862</v>
      </c>
      <c r="E9" s="31">
        <v>124.883991951959</v>
      </c>
      <c r="F9" s="31">
        <v>122.50951162153946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16310000000</v>
      </c>
      <c r="C5" s="18">
        <v>15405000000</v>
      </c>
      <c r="D5" s="18">
        <v>14984000000</v>
      </c>
      <c r="E5" s="18">
        <v>14410000000</v>
      </c>
      <c r="F5" s="6" t="s">
        <v>91</v>
      </c>
    </row>
    <row r="6" spans="1:6" x14ac:dyDescent="0.25">
      <c r="A6" t="s">
        <v>51</v>
      </c>
      <c r="B6" s="18">
        <v>2287000000</v>
      </c>
      <c r="C6" s="18">
        <v>2269000000</v>
      </c>
      <c r="D6" s="18">
        <v>2061000000</v>
      </c>
      <c r="E6" s="18">
        <v>1827000000</v>
      </c>
      <c r="F6" s="6" t="s">
        <v>92</v>
      </c>
    </row>
    <row r="7" spans="1:6" x14ac:dyDescent="0.25">
      <c r="A7" t="s">
        <v>93</v>
      </c>
      <c r="B7" s="18">
        <v>1144000000</v>
      </c>
      <c r="C7" s="18">
        <v>1114000000</v>
      </c>
      <c r="D7" s="18">
        <v>1125000000</v>
      </c>
      <c r="E7" s="18">
        <v>1130000000</v>
      </c>
      <c r="F7" s="6" t="s">
        <v>94</v>
      </c>
    </row>
    <row r="8" spans="1:6" x14ac:dyDescent="0.25">
      <c r="A8" t="s">
        <v>95</v>
      </c>
      <c r="B8" s="18">
        <v>603000000</v>
      </c>
      <c r="C8" s="18">
        <v>602000000</v>
      </c>
      <c r="D8" s="18">
        <v>649000000</v>
      </c>
      <c r="E8" s="18">
        <v>674000000</v>
      </c>
      <c r="F8" s="6" t="s">
        <v>96</v>
      </c>
    </row>
    <row r="9" spans="1:6" x14ac:dyDescent="0.25">
      <c r="A9" t="s">
        <v>97</v>
      </c>
      <c r="B9" s="18">
        <v>-125000000</v>
      </c>
      <c r="C9" s="18">
        <v>-158000000</v>
      </c>
      <c r="D9" s="18">
        <v>280000000</v>
      </c>
      <c r="E9" s="18">
        <v>84000000</v>
      </c>
      <c r="F9" s="6" t="s">
        <v>98</v>
      </c>
    </row>
    <row r="10" spans="1:6" x14ac:dyDescent="0.25">
      <c r="A10" t="s">
        <v>99</v>
      </c>
      <c r="B10" s="18">
        <v>15949000000</v>
      </c>
      <c r="C10" s="18">
        <v>14156000000</v>
      </c>
      <c r="D10" s="18">
        <v>13896000000</v>
      </c>
      <c r="E10" s="18">
        <v>13011000000</v>
      </c>
      <c r="F10" s="6" t="s">
        <v>100</v>
      </c>
    </row>
    <row r="11" spans="1:6" x14ac:dyDescent="0.25">
      <c r="A11" t="s">
        <v>101</v>
      </c>
      <c r="B11" s="18">
        <v>2141000000</v>
      </c>
      <c r="C11" s="18">
        <v>1843000000</v>
      </c>
      <c r="D11" s="18">
        <v>1496000000</v>
      </c>
      <c r="E11" s="18">
        <v>1309000000</v>
      </c>
      <c r="F11" s="6" t="s">
        <v>102</v>
      </c>
    </row>
    <row r="12" spans="1:6" x14ac:dyDescent="0.25">
      <c r="A12" t="s">
        <v>34</v>
      </c>
      <c r="B12" s="34">
        <v>173500000</v>
      </c>
      <c r="C12" s="34">
        <v>183400000</v>
      </c>
      <c r="D12" s="34">
        <v>186300000</v>
      </c>
      <c r="E12" s="34">
        <v>190600000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