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<sst xmlns="http://schemas.openxmlformats.org/spreadsheetml/2006/main" count="111" uniqueCount="99">
  <si>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Ingersoll Rand Inc. (IR)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</si>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</sst>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0.08948380588960547</v>
      </c>
    </row>
    <row r="7" spans="1:2" x14ac:dyDescent="0.25">
      <c r="A7" t="s">
        <v>5</v>
      </c>
      <c r="B7" s="6">
        <v>0.18189112826193293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0.06816294800748958</v>
      </c>
    </row>
    <row r="10" spans="1:2" x14ac:dyDescent="0.25">
      <c r="A10" t="s">
        <v>8</v>
      </c>
      <c r="B10" s="6">
        <v>0.017412434934324397</v>
      </c>
    </row>
    <row r="11" spans="1:2" x14ac:dyDescent="0.25">
      <c r="A11" t="s">
        <v>9</v>
      </c>
      <c r="B11" s="6">
        <v>0.1423794928949568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15.612014636372656</v>
      </c>
    </row>
    <row r="14" spans="1:3" x14ac:dyDescent="0.25">
      <c r="A14" t="s">
        <v>12</v>
      </c>
      <c r="B14" s="6">
        <v>0.1001875032263949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1.09849</v>
      </c>
      <c r="C19" s="8" t="s">
        <v>19</v>
      </c>
    </row>
    <row r="20" spans="1:2" x14ac:dyDescent="0.25">
      <c r="A20" t="s">
        <v>20</v>
      </c>
      <c r="B20" s="10">
        <f>B17+B19*B18</f>
        <v>0.11039695</v>
      </c>
    </row>
    <row r="21" spans="1:3" x14ac:dyDescent="0.25">
      <c r="A21" t="s">
        <v>21</v>
      </c>
      <c r="B21" s="6">
        <v>0.05254933614810675</v>
      </c>
      <c r="C21" s="8" t="s">
        <v>22</v>
      </c>
    </row>
    <row r="22" spans="1:2" x14ac:dyDescent="0.25">
      <c r="A22" t="s">
        <v>23</v>
      </c>
      <c r="B22" s="11">
        <v>27869999104</v>
      </c>
    </row>
    <row r="23" spans="1:2" x14ac:dyDescent="0.25">
      <c r="A23" t="s">
        <v>24</v>
      </c>
      <c r="B23" s="11">
        <v>4849500000</v>
      </c>
    </row>
    <row r="24" spans="1:2" x14ac:dyDescent="0.25">
      <c r="A24" t="s">
        <v>25</v>
      </c>
      <c r="B24" s="10">
        <f>B22/(B22+B23)</f>
        <v>0.8517856283622892</v>
      </c>
    </row>
    <row r="25" spans="1:2" x14ac:dyDescent="0.25">
      <c r="A25" t="s">
        <v>26</v>
      </c>
      <c r="B25" s="10">
        <f>1-B24</f>
        <v>0.14821437163771078</v>
      </c>
    </row>
    <row r="26" spans="1:2" x14ac:dyDescent="0.25">
      <c r="A26" t="s">
        <v>27</v>
      </c>
      <c r="B26" s="12">
        <f>B24*B20+B25*B21*(1-B8)</f>
        <v>0.1001875032263949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7650900000</v>
      </c>
      <c r="C29" s="8" t="s">
        <v>30</v>
      </c>
    </row>
    <row r="30" spans="1:2" x14ac:dyDescent="0.25">
      <c r="A30" t="s">
        <v>31</v>
      </c>
      <c r="B30" s="11">
        <v>3600700000</v>
      </c>
    </row>
    <row r="31" spans="1:2" x14ac:dyDescent="0.25">
      <c r="A31" t="s">
        <v>32</v>
      </c>
      <c r="B31" s="13">
        <v>401000000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0.08948380588960547</v>
      </c>
      <c r="C5" s="10">
        <f>Assumptions!B6</f>
        <v>0.08948380588960547</v>
      </c>
      <c r="D5" s="10">
        <f>Assumptions!B6</f>
        <v>0.08948380588960547</v>
      </c>
      <c r="E5" s="10">
        <f>Assumptions!B6</f>
        <v>0.08948380588960547</v>
      </c>
      <c r="F5" s="10">
        <f>Assumptions!B6</f>
        <v>0.08948380588960547</v>
      </c>
    </row>
    <row r="6" spans="1:6" x14ac:dyDescent="0.25">
      <c r="A6" t="s">
        <v>43</v>
      </c>
      <c r="B6" s="18">
        <f>Assumptions!B29*(1+B5)</f>
        <v>8335531650.4807825</v>
      </c>
      <c r="C6" s="18">
        <f>B6*(1+C5)</f>
        <v>9081426746.679068</v>
      </c>
      <c r="D6" s="18">
        <f>C6*(1+D5)</f>
        <v>9894067374.879568</v>
      </c>
      <c r="E6" s="18">
        <f>D6*(1+E5)</f>
        <v>10779426179.31197</v>
      </c>
      <c r="F6" s="18">
        <f>E6*(1+F5)</f>
        <v>11744010259.142853</v>
      </c>
    </row>
    <row r="7" spans="1:6" x14ac:dyDescent="0.25">
      <c r="A7" t="s">
        <v>5</v>
      </c>
      <c r="B7" s="10">
        <f>Assumptions!B7</f>
        <v>0.18189112826193293</v>
      </c>
      <c r="C7" s="10">
        <f>Assumptions!B7</f>
        <v>0.18189112826193293</v>
      </c>
      <c r="D7" s="10">
        <f>Assumptions!B7</f>
        <v>0.18189112826193293</v>
      </c>
      <c r="E7" s="10">
        <f>Assumptions!B7</f>
        <v>0.18189112826193293</v>
      </c>
      <c r="F7" s="10">
        <f>Assumptions!B7</f>
        <v>0.18189112826193293</v>
      </c>
    </row>
    <row r="8" spans="1:6" x14ac:dyDescent="0.25">
      <c r="A8" t="s">
        <v>44</v>
      </c>
      <c r="B8" s="18">
        <f>B6*B7</f>
        <v>1516159256.5690014</v>
      </c>
      <c r="C8" s="18">
        <f>C6*C7</f>
        <v>1651830957.1815505</v>
      </c>
      <c r="D8" s="18">
        <f>D6*D7</f>
        <v>1799643077.9164257</v>
      </c>
      <c r="E8" s="18">
        <f>E6*E7</f>
        <v>1960681989.7712712</v>
      </c>
      <c r="F8" s="18">
        <f>F6*F7</f>
        <v>2136131276.3552089</v>
      </c>
    </row>
    <row r="9" spans="1:6" x14ac:dyDescent="0.25">
      <c r="A9" t="s">
        <v>45</v>
      </c>
      <c r="B9" s="18">
        <f>B8*(1-Assumptions!B8)</f>
        <v>1197765812.6895113</v>
      </c>
      <c r="C9" s="18">
        <f>C8*(1-Assumptions!B8)</f>
        <v>1304946456.173425</v>
      </c>
      <c r="D9" s="18">
        <f>D8*(1-Assumptions!B8)</f>
        <v>1421718031.5539763</v>
      </c>
      <c r="E9" s="18">
        <f>E8*(1-Assumptions!B8)</f>
        <v>1548938771.9193044</v>
      </c>
      <c r="F9" s="18">
        <f>F8*(1-Assumptions!B8)</f>
        <v>1687543708.320615</v>
      </c>
    </row>
    <row r="10" spans="1:6" x14ac:dyDescent="0.25">
      <c r="A10" t="s">
        <v>46</v>
      </c>
      <c r="B10" s="18">
        <f>B6*Assumptions!B9</f>
        <v>568174410.5065054</v>
      </c>
      <c r="C10" s="18">
        <f>C6*Assumptions!B9</f>
        <v>619016819.1677105</v>
      </c>
      <c r="D10" s="18">
        <f>D6*Assumptions!B9</f>
        <v>674408800.0565149</v>
      </c>
      <c r="E10" s="18">
        <f>E6*Assumptions!B9</f>
        <v>734757466.2110138</v>
      </c>
      <c r="F10" s="18">
        <f>F6*Assumptions!B9</f>
        <v>800506360.6933784</v>
      </c>
    </row>
    <row r="11" spans="1:6" x14ac:dyDescent="0.25">
      <c r="A11" t="s">
        <v>47</v>
      </c>
      <c r="B11" s="18">
        <f>-B6*Assumptions!B10</f>
        <v>-145141902.50699827</v>
      </c>
      <c r="C11" s="18">
        <f>-C6*Assumptions!B10</f>
        <v>-158129752.33738256</v>
      </c>
      <c r="D11" s="18">
        <f>-D6*Assumptions!B10</f>
        <v>-172279804.40091226</v>
      </c>
      <c r="E11" s="18">
        <f>-E6*Assumptions!B10</f>
        <v>-187696056.9766227</v>
      </c>
      <c r="F11" s="18">
        <f>-F6*Assumptions!B10</f>
        <v>-204491814.5053631</v>
      </c>
    </row>
    <row r="12" spans="1:6" x14ac:dyDescent="0.25">
      <c r="A12" t="s">
        <v>48</v>
      </c>
      <c r="B12" s="18">
        <f>-(B6-Assumptions!B29)*Assumptions!B11</f>
        <v>-97477507.21529113</v>
      </c>
      <c r="C12" s="18">
        <f>-(C6-B6)*Assumptions!B11</f>
        <v>-106200165.54954685</v>
      </c>
      <c r="D12" s="18">
        <f>-(D6-C6)*Assumptions!B11</f>
        <v>-115703360.54902638</v>
      </c>
      <c r="E12" s="18">
        <f>-(E6-D6)*Assumptions!B11</f>
        <v>-126056937.60517058</v>
      </c>
      <c r="F12" s="18">
        <f>-(F6-E6)*Assumptions!B11</f>
        <v>-137336992.14086965</v>
      </c>
    </row>
    <row r="13" spans="1:6" x14ac:dyDescent="0.25">
      <c r="A13" s="19" t="s">
        <v>49</v>
      </c>
      <c r="B13" s="20">
        <f>B9+B10+B11+B12</f>
        <v>1523320813.4737275</v>
      </c>
      <c r="C13" s="20">
        <f>C9+C10+C11+C12</f>
        <v>1659633357.454206</v>
      </c>
      <c r="D13" s="20">
        <f>D9+D10+D11+D12</f>
        <v>1808143666.6605525</v>
      </c>
      <c r="E13" s="20">
        <f>E9+E10+E11+E12</f>
        <v>1969943243.548525</v>
      </c>
      <c r="F13" s="20">
        <f>F9+F10+F11+F12</f>
        <v>2146221262.3677607</v>
      </c>
    </row>
    <row r="14" spans="1:6" x14ac:dyDescent="0.25">
      <c r="A14" t="s">
        <v>50</v>
      </c>
      <c r="B14" s="21">
        <f>1/(1+Assumptions!$B$26)^(1-0.5*Assumptions!$B$32)</f>
        <v>0.9533813372185336</v>
      </c>
      <c r="C14" s="21">
        <f>1/(1+Assumptions!$B$26)^(2-0.5*Assumptions!$B$32)</f>
        <v>0.8665625944874492</v>
      </c>
      <c r="D14" s="21">
        <f>1/(1+Assumptions!$B$26)^(3-0.5*Assumptions!$B$32)</f>
        <v>0.78764991598812</v>
      </c>
      <c r="E14" s="21">
        <f>1/(1+Assumptions!$B$26)^(4-0.5*Assumptions!$B$32)</f>
        <v>0.7159233436830255</v>
      </c>
      <c r="F14" s="21">
        <f>1/(1+Assumptions!$B$26)^(5-0.5*Assumptions!$B$32)</f>
        <v>0.6507284818119806</v>
      </c>
    </row>
    <row r="15" spans="1:6" x14ac:dyDescent="0.25">
      <c r="A15" s="19" t="s">
        <v>51</v>
      </c>
      <c r="B15" s="20">
        <f>B13*B14</f>
        <v>1452305634.1624067</v>
      </c>
      <c r="C15" s="20">
        <f>C13*C14</f>
        <v>1438176188.1334329</v>
      </c>
      <c r="D15" s="20">
        <f>D13*D14</f>
        <v>1424184207.1396353</v>
      </c>
      <c r="E15" s="20">
        <f>E13*E14</f>
        <v>1410328353.7870448</v>
      </c>
      <c r="F15" s="20">
        <f>F13*F14</f>
        <v>1396607303.6931655</v>
      </c>
    </row>
    <row r="17" spans="1:2" x14ac:dyDescent="0.25">
      <c r="A17" s="22" t="s">
        <v>52</v>
      </c>
      <c r="B17" s="23">
        <f>SUM(B15:F15)</f>
        <v>7121601686.915685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2146221262.3677607</v>
      </c>
    </row>
    <row r="5" spans="1:2" x14ac:dyDescent="0.25">
      <c r="A5" t="s">
        <v>56</v>
      </c>
      <c r="B5" s="18">
        <f>IF(Assumptions!$B$33=0,B4,B4-Forecast!F11-Forecast!F10-Forecast!F12)</f>
        <v>2184835577.335546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0.2495321192255605</v>
      </c>
    </row>
    <row r="7" spans="1:2" x14ac:dyDescent="0.25">
      <c r="A7" t="s">
        <v>58</v>
      </c>
      <c r="B7" s="18">
        <f>-MAX(Forecast!F9,0)*B6</f>
        <v>-545186651.7719398</v>
      </c>
    </row>
    <row r="8" spans="1:2" x14ac:dyDescent="0.25">
      <c r="A8" t="s">
        <v>59</v>
      </c>
      <c r="B8" s="18">
        <f>IF(OR(Assumptions!$B$33=0,Assumptions!B12&lt;=0),B5,MAX(B5+B7,0))</f>
        <v>1639648925.5636063</v>
      </c>
    </row>
    <row r="9" spans="1:2" x14ac:dyDescent="0.25">
      <c r="A9" t="s">
        <v>60</v>
      </c>
      <c r="B9" s="18">
        <f>B8*(1+Assumptions!B12)/(Assumptions!B26-Assumptions!B12)</f>
        <v>22352652722.649532</v>
      </c>
    </row>
    <row r="10" spans="1:2" x14ac:dyDescent="0.25">
      <c r="A10" t="s">
        <v>61</v>
      </c>
      <c r="B10" s="18">
        <f>B9/(1+Assumptions!B26)^(5-0.5*Assumptions!B32)</f>
        <v>14545507770.680164</v>
      </c>
    </row>
    <row r="11" spans="1:2" x14ac:dyDescent="0.25">
      <c r="A11" t="s">
        <v>62</v>
      </c>
      <c r="B11" s="18">
        <f>Forecast!B17+B10</f>
        <v>21667109457.595848</v>
      </c>
    </row>
    <row r="12" spans="1:2" x14ac:dyDescent="0.25">
      <c r="A12" t="s">
        <v>63</v>
      </c>
      <c r="B12" s="18">
        <f>-Assumptions!B30</f>
        <v>-3600700000</v>
      </c>
    </row>
    <row r="13" spans="1:2" x14ac:dyDescent="0.25">
      <c r="A13" t="s">
        <v>64</v>
      </c>
      <c r="B13" s="18">
        <f>B11+B12</f>
        <v>18066409457.595848</v>
      </c>
    </row>
    <row r="14" spans="1:2" x14ac:dyDescent="0.25">
      <c r="A14" s="19" t="s">
        <v>65</v>
      </c>
      <c r="B14" s="24">
        <f>B13/Assumptions!B31</f>
        <v>45.0533901685682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2936637637.0485873</v>
      </c>
    </row>
    <row r="18" spans="1:2" x14ac:dyDescent="0.25">
      <c r="A18" t="s">
        <v>60</v>
      </c>
      <c r="B18" s="18">
        <f>B17*Assumptions!B13</f>
        <v>45846829771.325356</v>
      </c>
    </row>
    <row r="19" spans="1:2" x14ac:dyDescent="0.25">
      <c r="A19" t="s">
        <v>61</v>
      </c>
      <c r="B19" s="18">
        <f>B18/(1+Assumptions!B26)^(5-0.5*Assumptions!B32)</f>
        <v>29833837932.986862</v>
      </c>
    </row>
    <row r="20" spans="1:2" x14ac:dyDescent="0.25">
      <c r="A20" t="s">
        <v>62</v>
      </c>
      <c r="B20" s="18">
        <f>Forecast!B17+B19</f>
        <v>36955439619.90255</v>
      </c>
    </row>
    <row r="21" spans="1:2" x14ac:dyDescent="0.25">
      <c r="A21" t="s">
        <v>63</v>
      </c>
      <c r="B21" s="18">
        <f>-Assumptions!B30</f>
        <v>-3600700000</v>
      </c>
    </row>
    <row r="22" spans="1:2" x14ac:dyDescent="0.25">
      <c r="A22" t="s">
        <v>64</v>
      </c>
      <c r="B22" s="18">
        <f>B20+B21</f>
        <v>33354739619.90255</v>
      </c>
    </row>
    <row r="23" spans="1:2" x14ac:dyDescent="0.25">
      <c r="A23" s="19" t="s">
        <v>65</v>
      </c>
      <c r="B23" s="25">
        <f>B22/Assumptions!B31</f>
        <v>83.1789017952682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71.83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45.0533901685682</v>
      </c>
    </row>
    <row r="29" spans="1:2" x14ac:dyDescent="0.25">
      <c r="A29" s="19" t="s">
        <v>73</v>
      </c>
      <c r="B29" s="12">
        <f>B28/B26-1</f>
        <v>-0.3727775279330614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0.080188</v>
      </c>
      <c r="B5" s="31">
        <v>58.35320864252196</v>
      </c>
      <c r="C5" s="31">
        <v>58.593306310421895</v>
      </c>
      <c r="D5" s="31">
        <v>58.83340397832182</v>
      </c>
      <c r="E5" s="31">
        <v>59.07350164622174</v>
      </c>
      <c r="F5" s="31">
        <v>59.313599314121674</v>
      </c>
    </row>
    <row r="6" spans="1:6" x14ac:dyDescent="0.25">
      <c r="A6" s="30">
        <v>0.090188</v>
      </c>
      <c r="B6" s="31">
        <v>50.763919481112396</v>
      </c>
      <c r="C6" s="31">
        <v>50.96872391129628</v>
      </c>
      <c r="D6" s="31">
        <v>51.17352834148016</v>
      </c>
      <c r="E6" s="31">
        <v>51.378332771664034</v>
      </c>
      <c r="F6" s="31">
        <v>51.58313720184791</v>
      </c>
    </row>
    <row r="7" spans="1:6" x14ac:dyDescent="0.25">
      <c r="A7" s="30">
        <v>0.100188</v>
      </c>
      <c r="B7" s="31">
        <v>44.699235418476974</v>
      </c>
      <c r="C7" s="31">
        <v>44.87617606798805</v>
      </c>
      <c r="D7" s="32">
        <v>45.05311671749912</v>
      </c>
      <c r="E7" s="31">
        <v>45.230057367010204</v>
      </c>
      <c r="F7" s="31">
        <v>45.406998016521285</v>
      </c>
    </row>
    <row r="8" spans="1:6" x14ac:dyDescent="0.25">
      <c r="A8" s="30">
        <v>0.110188</v>
      </c>
      <c r="B8" s="31">
        <v>39.74363082034082</v>
      </c>
      <c r="C8" s="31">
        <v>39.89809426338013</v>
      </c>
      <c r="D8" s="31">
        <v>40.05255770641945</v>
      </c>
      <c r="E8" s="31">
        <v>40.207021149458754</v>
      </c>
      <c r="F8" s="31">
        <v>40.36148459249807</v>
      </c>
    </row>
    <row r="9" spans="1:6" x14ac:dyDescent="0.25">
      <c r="A9" s="30">
        <v>0.120188</v>
      </c>
      <c r="B9" s="31">
        <v>35.619894855553184</v>
      </c>
      <c r="C9" s="31">
        <v>35.75590589529563</v>
      </c>
      <c r="D9" s="31">
        <v>35.89191693503808</v>
      </c>
      <c r="E9" s="31">
        <v>36.02792797478053</v>
      </c>
      <c r="F9" s="31">
        <v>36.163939014522974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7650900000</v>
      </c>
      <c r="C5" s="18">
        <v>7235000000</v>
      </c>
      <c r="D5" s="18">
        <v>6876100000</v>
      </c>
      <c r="E5" s="18">
        <v>5916300000</v>
      </c>
      <c r="F5" s="8" t="s">
        <v>84</v>
      </c>
    </row>
    <row r="6" spans="1:6" x14ac:dyDescent="0.25">
      <c r="A6" t="s">
        <v>44</v>
      </c>
      <c r="B6" s="18">
        <v>1510000000</v>
      </c>
      <c r="C6" s="18">
        <v>1454300000</v>
      </c>
      <c r="D6" s="18">
        <v>1241500000</v>
      </c>
      <c r="E6" s="18">
        <v>879400000</v>
      </c>
      <c r="F6" s="8" t="s">
        <v>85</v>
      </c>
    </row>
    <row r="7" spans="1:6" x14ac:dyDescent="0.25">
      <c r="A7" t="s">
        <v>86</v>
      </c>
      <c r="B7" s="18">
        <v>505800000</v>
      </c>
      <c r="C7" s="18">
        <v>482000000</v>
      </c>
      <c r="D7" s="18">
        <v>459100000</v>
      </c>
      <c r="E7" s="18">
        <v>432800000</v>
      </c>
      <c r="F7" s="8" t="s">
        <v>87</v>
      </c>
    </row>
    <row r="8" spans="1:6" x14ac:dyDescent="0.25">
      <c r="A8" t="s">
        <v>88</v>
      </c>
      <c r="B8" s="18">
        <v>135600000</v>
      </c>
      <c r="C8" s="18">
        <v>149100000</v>
      </c>
      <c r="D8" s="18">
        <v>105400000</v>
      </c>
      <c r="E8" s="18">
        <v>94600000</v>
      </c>
      <c r="F8" s="8" t="s">
        <v>89</v>
      </c>
    </row>
    <row r="9" spans="1:6" x14ac:dyDescent="0.25">
      <c r="A9" t="s">
        <v>90</v>
      </c>
      <c r="B9" s="18">
        <v>159300000</v>
      </c>
      <c r="C9" s="18">
        <v>51100000</v>
      </c>
      <c r="D9" s="18">
        <v>-110600000</v>
      </c>
      <c r="E9" s="18">
        <v>197400000</v>
      </c>
      <c r="F9" s="8" t="s">
        <v>91</v>
      </c>
    </row>
    <row r="10" spans="1:6" x14ac:dyDescent="0.25">
      <c r="A10" t="s">
        <v>92</v>
      </c>
      <c r="B10" s="18">
        <v>4849500000</v>
      </c>
      <c r="C10" s="18">
        <v>4813800000</v>
      </c>
      <c r="D10" s="18">
        <v>2765200000</v>
      </c>
      <c r="E10" s="18">
        <v>2792200000</v>
      </c>
      <c r="F10" s="8" t="s">
        <v>93</v>
      </c>
    </row>
    <row r="11" spans="1:6" x14ac:dyDescent="0.25">
      <c r="A11" t="s">
        <v>94</v>
      </c>
      <c r="B11" s="18">
        <v>1248800000</v>
      </c>
      <c r="C11" s="18">
        <v>1541200000</v>
      </c>
      <c r="D11" s="18">
        <v>1595500000</v>
      </c>
      <c r="E11" s="18">
        <v>1613000000</v>
      </c>
      <c r="F11" s="8" t="s">
        <v>95</v>
      </c>
    </row>
    <row r="12" spans="1:6" x14ac:dyDescent="0.25">
      <c r="A12" t="s">
        <v>32</v>
      </c>
      <c r="B12" s="34">
        <v>401000000</v>
      </c>
      <c r="C12" s="34">
        <v>407200000</v>
      </c>
      <c r="D12" s="34">
        <v>409000000</v>
      </c>
      <c r="E12" s="34">
        <v>410200000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