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<sst xmlns="http://schemas.openxmlformats.org/spreadsheetml/2006/main" count="119" uniqueCount="106">
  <si>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Ingersoll Rand Inc. (IR)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</si>
  <si>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</si>
  <si>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</si>
  <si>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</si>
  <si>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</si>
  <si>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</si>
  <si>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</si>
  <si>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</si>
  <si>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</si>
  <si>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</si>
  <si>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</si>
  <si>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</si>
  <si>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</si>
  <si>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</si>
  <si>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</si>
  <si>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</si>
  <si>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</si>
  <si>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</si>
  <si>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</si>
  <si>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</si>
  <si>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</si>
  <si>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</si>
  <si>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</si>
  <si>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</si>
  <si>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5.9x interest cover. Book interest / average debt was lower, at 5.3%.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</si>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</sst>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0.06109596256649552</v>
      </c>
    </row>
    <row r="7" spans="1:2" x14ac:dyDescent="0.25">
      <c r="A7" t="s">
        <v>4</v>
      </c>
      <c r="B7" s="5">
        <v>0.18189112826193293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0.06816294800748958</v>
      </c>
    </row>
    <row r="10" spans="1:3" x14ac:dyDescent="0.25">
      <c r="A10" t="s">
        <v>7</v>
      </c>
      <c r="B10" s="5">
        <v>0.017412434934324397</v>
      </c>
      <c r="C10" s="6" t="s">
        <v>8</v>
      </c>
    </row>
    <row r="11" spans="1:2" x14ac:dyDescent="0.25">
      <c r="A11" t="s">
        <v>9</v>
      </c>
      <c r="B11" s="5">
        <v>0.21765523978673257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17.035966949102093</v>
      </c>
    </row>
    <row r="14" spans="1:3" x14ac:dyDescent="0.25">
      <c r="A14" t="s">
        <v>12</v>
      </c>
      <c r="B14" s="5">
        <v>0.08855013932997224</v>
      </c>
      <c r="C14" s="6" t="s">
        <v>13</v>
      </c>
    </row>
    <row r="15" spans="1:3" x14ac:dyDescent="0.25">
      <c r="A15" t="s">
        <v>14</v>
      </c>
      <c r="B15" s="5">
        <v>0.014562570912293158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1.10184</v>
      </c>
      <c r="C19" s="6" t="s">
        <v>21</v>
      </c>
    </row>
    <row r="20" spans="1:2" x14ac:dyDescent="0.25">
      <c r="A20" t="s">
        <v>22</v>
      </c>
      <c r="B20" s="9">
        <f>B17+B19*B18</f>
        <v>0.095547832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30740402176</v>
      </c>
    </row>
    <row r="23" spans="1:2" x14ac:dyDescent="0.25">
      <c r="A23" t="s">
        <v>26</v>
      </c>
      <c r="B23" s="10">
        <v>4849500000</v>
      </c>
    </row>
    <row r="24" spans="1:2" x14ac:dyDescent="0.25">
      <c r="A24" t="s">
        <v>27</v>
      </c>
      <c r="B24" s="9">
        <f>B22/(B22+B23)</f>
        <v>0.8637394400237983</v>
      </c>
    </row>
    <row r="25" spans="1:2" x14ac:dyDescent="0.25">
      <c r="A25" t="s">
        <v>28</v>
      </c>
      <c r="B25" s="9">
        <f>1-B24</f>
        <v>0.13626055997620168</v>
      </c>
    </row>
    <row r="26" spans="1:2" x14ac:dyDescent="0.25">
      <c r="A26" t="s">
        <v>29</v>
      </c>
      <c r="B26" s="11">
        <f>B24*B20+B25*B21*(1-B8)</f>
        <v>0.08855013932997224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7650900000</v>
      </c>
      <c r="C29" s="6" t="s">
        <v>32</v>
      </c>
    </row>
    <row r="30" spans="1:2" x14ac:dyDescent="0.25">
      <c r="A30" t="s">
        <v>33</v>
      </c>
      <c r="B30" s="10">
        <v>3600700000</v>
      </c>
    </row>
    <row r="31" spans="1:2" x14ac:dyDescent="0.25">
      <c r="A31" t="s">
        <v>34</v>
      </c>
      <c r="B31" s="12">
        <v>401000000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0.06109596256649552</v>
      </c>
      <c r="C5" s="5">
        <v>0.04985279673769716</v>
      </c>
      <c r="D5" s="5">
        <v>0.046746197145485016</v>
      </c>
      <c r="E5" s="5">
        <v>0.04363959755327287</v>
      </c>
      <c r="F5" s="5">
        <v>0.040532997961060725</v>
      </c>
      <c r="G5" s="5">
        <v>0.037426398368848576</v>
      </c>
      <c r="H5" s="5">
        <v>0.034319798776636434</v>
      </c>
      <c r="I5" s="5">
        <v>0.031213199184424292</v>
      </c>
      <c r="J5" s="5">
        <v>0.028106599592212147</v>
      </c>
      <c r="K5" s="5">
        <v>0.025</v>
      </c>
    </row>
    <row r="6" spans="1:11" x14ac:dyDescent="0.25">
      <c r="A6" t="s">
        <v>50</v>
      </c>
      <c r="B6" s="18">
        <f>Assumptions!B29*(1+B5)</f>
        <v>8118339100.000001</v>
      </c>
      <c r="C6" s="18">
        <f>B6*(1+C5)</f>
        <v>8523061009</v>
      </c>
      <c r="D6" s="18">
        <f>C6*(1+D5)</f>
        <v>8921481699.209711</v>
      </c>
      <c r="E6" s="18">
        <f>D6*(1+E5)</f>
        <v>9310811570.14211</v>
      </c>
      <c r="F6" s="18">
        <f>E6*(1+F5)</f>
        <v>9688206676.5305</v>
      </c>
      <c r="G6" s="18">
        <f>F6*(1+G5)</f>
        <v>10050801359.08607</v>
      </c>
      <c r="H6" s="18">
        <f>G6*(1+H5)</f>
        <v>10395742839.273846</v>
      </c>
      <c r="I6" s="18">
        <f>H6*(1+I5)</f>
        <v>10720227231.186152</v>
      </c>
      <c r="J6" s="18">
        <f>I6*(1+J5)</f>
        <v>11021536365.51063</v>
      </c>
      <c r="K6" s="18">
        <f>J6*(1+K5)</f>
        <v>11297074774.648394</v>
      </c>
    </row>
    <row r="7" spans="1:11" x14ac:dyDescent="0.25">
      <c r="A7" t="s">
        <v>4</v>
      </c>
      <c r="B7" s="9">
        <f>Assumptions!B7</f>
        <v>0.18189112826193293</v>
      </c>
      <c r="C7" s="9">
        <f>Assumptions!B7</f>
        <v>0.18189112826193293</v>
      </c>
      <c r="D7" s="9">
        <f>Assumptions!B7</f>
        <v>0.18189112826193293</v>
      </c>
      <c r="E7" s="9">
        <f>Assumptions!B7</f>
        <v>0.18189112826193293</v>
      </c>
      <c r="F7" s="9">
        <f>Assumptions!B7</f>
        <v>0.18189112826193293</v>
      </c>
      <c r="G7" s="9">
        <f>Assumptions!B7</f>
        <v>0.18189112826193293</v>
      </c>
      <c r="H7" s="9">
        <f>Assumptions!B7</f>
        <v>0.18189112826193293</v>
      </c>
      <c r="I7" s="9">
        <f>Assumptions!B7</f>
        <v>0.18189112826193293</v>
      </c>
      <c r="J7" s="9">
        <f>Assumptions!B7</f>
        <v>0.18189112826193293</v>
      </c>
      <c r="K7" s="9">
        <f>Assumptions!B7</f>
        <v>0.18189112826193293</v>
      </c>
    </row>
    <row r="8" spans="1:11" x14ac:dyDescent="0.25">
      <c r="A8" t="s">
        <v>51</v>
      </c>
      <c r="B8" s="18">
        <f>B6*B7</f>
        <v>1476653858.5119653</v>
      </c>
      <c r="C8" s="18">
        <f>C6*C7</f>
        <v>1550269183.1722984</v>
      </c>
      <c r="D8" s="18">
        <f>D6*D7</f>
        <v>1622738372.037441</v>
      </c>
      <c r="E8" s="18">
        <f>E6*E7</f>
        <v>1693554021.527408</v>
      </c>
      <c r="F8" s="18">
        <f>F6*F7</f>
        <v>1762198843.2289243</v>
      </c>
      <c r="G8" s="18">
        <f>G6*G7</f>
        <v>1828151599.140734</v>
      </c>
      <c r="H8" s="18">
        <f>H6*H7</f>
        <v>1890893394.15643</v>
      </c>
      <c r="I8" s="18">
        <f>I6*I7</f>
        <v>1949914226.3047464</v>
      </c>
      <c r="J8" s="18">
        <f>J6*J7</f>
        <v>2004719684.702652</v>
      </c>
      <c r="K8" s="18">
        <f>K6*K7</f>
        <v>2054837676.820218</v>
      </c>
    </row>
    <row r="9" spans="1:11" x14ac:dyDescent="0.25">
      <c r="A9" t="s">
        <v>52</v>
      </c>
      <c r="B9" s="18">
        <f>B8*(1-Assumptions!B8)</f>
        <v>1166556548.2244527</v>
      </c>
      <c r="C9" s="18">
        <f>C8*(1-Assumptions!B8)</f>
        <v>1224712654.7061157</v>
      </c>
      <c r="D9" s="18">
        <f>D8*(1-Assumptions!B8)</f>
        <v>1281963313.9095786</v>
      </c>
      <c r="E9" s="18">
        <f>E8*(1-Assumptions!B8)</f>
        <v>1337907677.0066524</v>
      </c>
      <c r="F9" s="18">
        <f>F8*(1-Assumptions!B8)</f>
        <v>1392137086.1508503</v>
      </c>
      <c r="G9" s="18">
        <f>G8*(1-Assumptions!B8)</f>
        <v>1444239763.3211799</v>
      </c>
      <c r="H9" s="18">
        <f>H8*(1-Assumptions!B8)</f>
        <v>1493805781.3835797</v>
      </c>
      <c r="I9" s="18">
        <f>I8*(1-Assumptions!B8)</f>
        <v>1540432238.7807498</v>
      </c>
      <c r="J9" s="18">
        <f>J8*(1-Assumptions!B8)</f>
        <v>1583728550.915095</v>
      </c>
      <c r="K9" s="18">
        <f>K8*(1-Assumptions!B8)</f>
        <v>1623321764.6879723</v>
      </c>
    </row>
    <row r="10" spans="1:11" x14ac:dyDescent="0.25">
      <c r="A10" t="s">
        <v>53</v>
      </c>
      <c r="B10" s="18">
        <f>B6*Assumptions!B9</f>
        <v>553369925.9804698</v>
      </c>
      <c r="C10" s="18">
        <f>C6*Assumptions!B9</f>
        <v>580956964.4211286</v>
      </c>
      <c r="D10" s="18">
        <f>D6*Assumptions!B9</f>
        <v>608114493.2130014</v>
      </c>
      <c r="E10" s="18">
        <f>E6*Assumptions!B9</f>
        <v>634652364.9631292</v>
      </c>
      <c r="F10" s="18">
        <f>F6*Assumptions!B9</f>
        <v>660376727.9781619</v>
      </c>
      <c r="G10" s="18">
        <f>G6*Assumptions!B9</f>
        <v>685092250.4729893</v>
      </c>
      <c r="H10" s="18">
        <f>H6*Assumptions!B9</f>
        <v>708604478.6526552</v>
      </c>
      <c r="I10" s="18">
        <f>I6*Assumptions!B9</f>
        <v>730722291.3878156</v>
      </c>
      <c r="J10" s="18">
        <f>J6*Assumptions!B9</f>
        <v>751260410.2449567</v>
      </c>
      <c r="K10" s="18">
        <f>K6*Assumptions!B9</f>
        <v>770041920.5010805</v>
      </c>
    </row>
    <row r="11" spans="1:11" x14ac:dyDescent="0.25">
      <c r="A11" t="s">
        <v>54</v>
      </c>
      <c r="B11" s="18">
        <f>-B6*B19</f>
        <v>-141360051.3535317</v>
      </c>
      <c r="C11" s="18">
        <f>-C6*C19</f>
        <v>-195448450.95918587</v>
      </c>
      <c r="D11" s="18">
        <f>-D6*D19</f>
        <v>-253825125.95375228</v>
      </c>
      <c r="E11" s="18">
        <f>-E6*E19</f>
        <v>-316290978.1234971</v>
      </c>
      <c r="F11" s="18">
        <f>-F6*F19</f>
        <v>-382583176.79804665</v>
      </c>
      <c r="G11" s="18">
        <f>-G6*G19</f>
        <v>-452375127.8019111</v>
      </c>
      <c r="H11" s="18">
        <f>-H6*H19</f>
        <v>-525277622.2349886</v>
      </c>
      <c r="I11" s="18">
        <f>-I6*I19</f>
        <v>-600841210.3083847</v>
      </c>
      <c r="J11" s="18">
        <f>-J6*J19</f>
        <v>-678559817.7370623</v>
      </c>
      <c r="K11" s="18">
        <f>-K6*K19</f>
        <v>-757875592.3953296</v>
      </c>
    </row>
    <row r="12" spans="1:11" x14ac:dyDescent="0.25">
      <c r="A12" t="s">
        <v>55</v>
      </c>
      <c r="B12" s="18">
        <f>-(B6-Assumptions!B29)*Assumptions!B11</f>
        <v>-101740569.39619467</v>
      </c>
      <c r="C12" s="18">
        <f>-(C6-B6)*Assumptions!B11</f>
        <v>-88089844.15033895</v>
      </c>
      <c r="D12" s="18">
        <f>-(D6-C6)*Assumptions!B11</f>
        <v>-86718350.86359015</v>
      </c>
      <c r="E12" s="18">
        <f>-(E6-D6)*Assumptions!B11</f>
        <v>-84739686.4139291</v>
      </c>
      <c r="F12" s="18">
        <f>-(F6-E6)*Assumptions!B11</f>
        <v>-82142022.37530439</v>
      </c>
      <c r="G12" s="18">
        <f>-(G6-F6)*Assumptions!B11</f>
        <v>-78920632.57702649</v>
      </c>
      <c r="H12" s="18">
        <f>-(H6-G6)*Assumptions!B11</f>
        <v>-75078320.58266097</v>
      </c>
      <c r="I12" s="18">
        <f>-(I6-H6)*Assumptions!B11</f>
        <v>-70625728.12872504</v>
      </c>
      <c r="J12" s="18">
        <f>-(J6-I6)*Assumptions!B11</f>
        <v>-65581511.88132711</v>
      </c>
      <c r="K12" s="18">
        <f>-(K6-J6)*Assumptions!B11</f>
        <v>-59972378.511334844</v>
      </c>
    </row>
    <row r="13" spans="1:11" x14ac:dyDescent="0.25">
      <c r="A13" s="19" t="s">
        <v>56</v>
      </c>
      <c r="B13" s="20">
        <f>B9+B10+B11+B12</f>
        <v>1476825853.4551964</v>
      </c>
      <c r="C13" s="20">
        <f>C9+C10+C11+C12</f>
        <v>1522131324.0177197</v>
      </c>
      <c r="D13" s="20">
        <f>D9+D10+D11+D12</f>
        <v>1549534330.3052375</v>
      </c>
      <c r="E13" s="20">
        <f>E9+E10+E11+E12</f>
        <v>1571529377.4323554</v>
      </c>
      <c r="F13" s="20">
        <f>F9+F10+F11+F12</f>
        <v>1587788614.955661</v>
      </c>
      <c r="G13" s="20">
        <f>G9+G10+G11+G12</f>
        <v>1598036253.4152317</v>
      </c>
      <c r="H13" s="20">
        <f>H9+H10+H11+H12</f>
        <v>1602054317.2185853</v>
      </c>
      <c r="I13" s="20">
        <f>I9+I10+I11+I12</f>
        <v>1599687591.7314556</v>
      </c>
      <c r="J13" s="20">
        <f>J9+J10+J11+J12</f>
        <v>1590847631.5416622</v>
      </c>
      <c r="K13" s="20">
        <f>K9+K10+K11+K12</f>
        <v>1575515714.2823882</v>
      </c>
    </row>
    <row r="14" spans="1:11" x14ac:dyDescent="0.25">
      <c r="A14" t="s">
        <v>57</v>
      </c>
      <c r="B14" s="21">
        <f>1/(1+Assumptions!$B$26)^(1-0.5*Assumptions!$B$32)</f>
        <v>0.9584639465025737</v>
      </c>
      <c r="C14" s="21">
        <f>1/(1+Assumptions!$B$26)^(2-0.5*Assumptions!$B$32)</f>
        <v>0.8804959109118582</v>
      </c>
      <c r="D14" s="21">
        <f>1/(1+Assumptions!$B$26)^(3-0.5*Assumptions!$B$32)</f>
        <v>0.8088703304505788</v>
      </c>
      <c r="E14" s="21">
        <f>1/(1+Assumptions!$B$26)^(4-0.5*Assumptions!$B$32)</f>
        <v>0.7430712662886224</v>
      </c>
      <c r="F14" s="21">
        <f>1/(1+Assumptions!$B$26)^(5-0.5*Assumptions!$B$32)</f>
        <v>0.6826247496013367</v>
      </c>
      <c r="G14" s="21">
        <f>1/(1+Assumptions!$B$26)^(6-0.5*Assumptions!$B$32)</f>
        <v>0.6270953674412353</v>
      </c>
      <c r="H14" s="21">
        <f>1/(1+Assumptions!$B$26)^(7-0.5*Assumptions!$B$32)</f>
        <v>0.5760831263383301</v>
      </c>
      <c r="I14" s="21">
        <f>1/(1+Assumptions!$B$26)^(8-0.5*Assumptions!$B$32)</f>
        <v>0.5292205710367395</v>
      </c>
      <c r="J14" s="21">
        <f>1/(1+Assumptions!$B$26)^(9-0.5*Assumptions!$B$32)</f>
        <v>0.4861701376130337</v>
      </c>
      <c r="K14" s="21">
        <f>1/(1+Assumptions!$B$26)^(10-0.5*Assumptions!$B$32)</f>
        <v>0.44662172191010197</v>
      </c>
    </row>
    <row r="15" spans="1:11" x14ac:dyDescent="0.25">
      <c r="A15" s="19" t="s">
        <v>58</v>
      </c>
      <c r="B15" s="20">
        <f>B13*B14</f>
        <v>1415484335.799699</v>
      </c>
      <c r="C15" s="20">
        <f>C13*C14</f>
        <v>1340230406.668455</v>
      </c>
      <c r="D15" s="20">
        <f>D13*D14</f>
        <v>1253372345.7985137</v>
      </c>
      <c r="E15" s="20">
        <f>E13*E14</f>
        <v>1167758324.4984307</v>
      </c>
      <c r="F15" s="20">
        <f>F13*F14</f>
        <v>1083863805.7039614</v>
      </c>
      <c r="G15" s="20">
        <f>G13*G14</f>
        <v>1002121131.5198398</v>
      </c>
      <c r="H15" s="20">
        <f>H13*H14</f>
        <v>922916459.6271015</v>
      </c>
      <c r="I15" s="20">
        <f>I13*I14</f>
        <v>846587580.7765075</v>
      </c>
      <c r="J15" s="20">
        <f>J13*J14</f>
        <v>773422611.9479786</v>
      </c>
      <c r="K15" s="20">
        <f>K13*K14</f>
        <v>703659541.2092245</v>
      </c>
    </row>
    <row r="17" spans="1:2" x14ac:dyDescent="0.25">
      <c r="A17" s="22" t="s">
        <v>59</v>
      </c>
      <c r="B17" s="23">
        <f>SUM(B15:K15)</f>
        <v>10509416543.549713</v>
      </c>
    </row>
    <row r="19" spans="1:11" x14ac:dyDescent="0.25">
      <c r="A19" t="s">
        <v>7</v>
      </c>
      <c r="B19" s="9">
        <f>Assumptions!$B$10+($B$20-Assumptions!$B$10)*0/9</f>
        <v>0.017412434934324397</v>
      </c>
      <c r="C19" s="9">
        <f>Assumptions!$B$10+($B$20-Assumptions!$B$10)*1/9</f>
        <v>0.02293172027664713</v>
      </c>
      <c r="D19" s="9">
        <f>Assumptions!$B$10+($B$20-Assumptions!$B$10)*2/9</f>
        <v>0.028451005618969863</v>
      </c>
      <c r="E19" s="9">
        <f>Assumptions!$B$10+($B$20-Assumptions!$B$10)*3/9</f>
        <v>0.0339702909612926</v>
      </c>
      <c r="F19" s="9">
        <f>Assumptions!$B$10+($B$20-Assumptions!$B$10)*4/9</f>
        <v>0.039489576303615326</v>
      </c>
      <c r="G19" s="9">
        <f>Assumptions!$B$10+($B$20-Assumptions!$B$10)*5/9</f>
        <v>0.045008861645938064</v>
      </c>
      <c r="H19" s="9">
        <f>Assumptions!$B$10+($B$20-Assumptions!$B$10)*6/9</f>
        <v>0.0505281469882608</v>
      </c>
      <c r="I19" s="9">
        <f>Assumptions!$B$10+($B$20-Assumptions!$B$10)*7/9</f>
        <v>0.05604743233058353</v>
      </c>
      <c r="J19" s="9">
        <f>Assumptions!$B$10+($B$20-Assumptions!$B$10)*8/9</f>
        <v>0.061566717672906265</v>
      </c>
      <c r="K19" s="9">
        <f>Assumptions!$B$10+($B$20-Assumptions!$B$10)*9/9</f>
        <v>0.067086003015229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0.067086003015229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1575515714.2823882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2101688464.4030623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0.28232592505405646</v>
      </c>
    </row>
    <row r="7" spans="1:2" x14ac:dyDescent="0.25">
      <c r="A7" t="s">
        <v>66</v>
      </c>
      <c r="B7" s="18">
        <f>-MAX(B5,0)*B6</f>
        <v>-593361139.888034</v>
      </c>
    </row>
    <row r="8" spans="1:2" x14ac:dyDescent="0.25">
      <c r="A8" t="s">
        <v>67</v>
      </c>
      <c r="B8" s="18">
        <f>IF(OR(Assumptions!$B$33=0,Assumptions!B12&lt;=0),B5,MAX(B5+B7,0))</f>
        <v>1508327324.5150285</v>
      </c>
    </row>
    <row r="9" spans="1:2" x14ac:dyDescent="0.25">
      <c r="A9" t="s">
        <v>68</v>
      </c>
      <c r="B9" s="18">
        <f>B8*(1+Assumptions!B12)/(Assumptions!B26-Assumptions!B12)</f>
        <v>24327806735.40939</v>
      </c>
    </row>
    <row r="10" spans="1:2" x14ac:dyDescent="0.25">
      <c r="A10" t="s">
        <v>69</v>
      </c>
      <c r="B10" s="18">
        <f>B9/(1+Assumptions!B26)^(10-0.5*Assumptions!B32)</f>
        <v>10865326934.464718</v>
      </c>
    </row>
    <row r="11" spans="1:2" x14ac:dyDescent="0.25">
      <c r="A11" t="s">
        <v>70</v>
      </c>
      <c r="B11" s="18">
        <f>Forecast!B17+B10</f>
        <v>21374743478.01443</v>
      </c>
    </row>
    <row r="12" spans="1:2" x14ac:dyDescent="0.25">
      <c r="A12" t="s">
        <v>71</v>
      </c>
      <c r="B12" s="18">
        <f>-Assumptions!B30</f>
        <v>-3600700000</v>
      </c>
    </row>
    <row r="13" spans="1:2" x14ac:dyDescent="0.25">
      <c r="A13" t="s">
        <v>72</v>
      </c>
      <c r="B13" s="18">
        <f>B11+B12</f>
        <v>17774043478.01443</v>
      </c>
    </row>
    <row r="14" spans="1:2" x14ac:dyDescent="0.25">
      <c r="A14" s="19" t="s">
        <v>73</v>
      </c>
      <c r="B14" s="24">
        <f>B13/Assumptions!B31</f>
        <v>44.32429795016068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2824879597.3212986</v>
      </c>
    </row>
    <row r="18" spans="1:2" x14ac:dyDescent="0.25">
      <c r="A18" t="s">
        <v>68</v>
      </c>
      <c r="B18" s="18">
        <f>B17*Assumptions!B13</f>
        <v>48124555455.15847</v>
      </c>
    </row>
    <row r="19" spans="1:2" x14ac:dyDescent="0.25">
      <c r="A19" t="s">
        <v>69</v>
      </c>
      <c r="B19" s="18">
        <f>B18/(1+Assumptions!B26)^(10-0.5*Assumptions!B32)</f>
        <v>21493471823.541065</v>
      </c>
    </row>
    <row r="20" spans="1:2" x14ac:dyDescent="0.25">
      <c r="A20" t="s">
        <v>70</v>
      </c>
      <c r="B20" s="18">
        <f>Forecast!B17+B19</f>
        <v>32002888367.09078</v>
      </c>
    </row>
    <row r="21" spans="1:2" x14ac:dyDescent="0.25">
      <c r="A21" t="s">
        <v>71</v>
      </c>
      <c r="B21" s="18">
        <f>-Assumptions!B30</f>
        <v>-3600700000</v>
      </c>
    </row>
    <row r="22" spans="1:2" x14ac:dyDescent="0.25">
      <c r="A22" t="s">
        <v>72</v>
      </c>
      <c r="B22" s="18">
        <f>B20+B21</f>
        <v>28402188367.09078</v>
      </c>
    </row>
    <row r="23" spans="1:2" x14ac:dyDescent="0.25">
      <c r="A23" s="19" t="s">
        <v>73</v>
      </c>
      <c r="B23" s="25">
        <f>B22/Assumptions!B31</f>
        <v>70.82839991793212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80.05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44.32429795016068</v>
      </c>
    </row>
    <row r="29" spans="1:2" x14ac:dyDescent="0.25">
      <c r="A29" s="19" t="s">
        <v>81</v>
      </c>
      <c r="B29" s="11">
        <f>B28/B26-1</f>
        <v>-0.4462923429086736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0.06855</v>
      </c>
      <c r="B5" s="31">
        <v>63.55122811682312</v>
      </c>
      <c r="C5" s="31">
        <v>63.41168809206887</v>
      </c>
      <c r="D5" s="31">
        <v>63.42679458448704</v>
      </c>
      <c r="E5" s="31">
        <v>63.65672133616807</v>
      </c>
      <c r="F5" s="31">
        <v>64.19751317241575</v>
      </c>
    </row>
    <row r="6" spans="1:6" x14ac:dyDescent="0.25">
      <c r="A6" s="30">
        <v>0.07855</v>
      </c>
      <c r="B6" s="31">
        <v>52.65987763978646</v>
      </c>
      <c r="C6" s="31">
        <v>51.89985667407474</v>
      </c>
      <c r="D6" s="31">
        <v>51.139835708363016</v>
      </c>
      <c r="E6" s="31">
        <v>50.3798147426513</v>
      </c>
      <c r="F6" s="31">
        <v>49.61979377693957</v>
      </c>
    </row>
    <row r="7" spans="1:6" x14ac:dyDescent="0.25">
      <c r="A7" s="30">
        <v>0.08855</v>
      </c>
      <c r="B7" s="31">
        <v>45.60027989149154</v>
      </c>
      <c r="C7" s="31">
        <v>44.962331013009404</v>
      </c>
      <c r="D7" s="32">
        <v>44.32438213452726</v>
      </c>
      <c r="E7" s="31">
        <v>43.68643325604513</v>
      </c>
      <c r="F7" s="31">
        <v>43.048484377562964</v>
      </c>
    </row>
    <row r="8" spans="1:6" x14ac:dyDescent="0.25">
      <c r="A8" s="30">
        <v>0.09855</v>
      </c>
      <c r="B8" s="31">
        <v>39.984333222496986</v>
      </c>
      <c r="C8" s="31">
        <v>39.44147251070846</v>
      </c>
      <c r="D8" s="31">
        <v>38.89861179891991</v>
      </c>
      <c r="E8" s="31">
        <v>38.35575108713136</v>
      </c>
      <c r="F8" s="31">
        <v>37.81289037534281</v>
      </c>
    </row>
    <row r="9" spans="1:6" x14ac:dyDescent="0.25">
      <c r="A9" s="30">
        <v>0.10855</v>
      </c>
      <c r="B9" s="31">
        <v>35.4125046191669</v>
      </c>
      <c r="C9" s="31">
        <v>34.945364751317165</v>
      </c>
      <c r="D9" s="31">
        <v>34.47822488346741</v>
      </c>
      <c r="E9" s="31">
        <v>34.01108501561767</v>
      </c>
      <c r="F9" s="31">
        <v>33.54394514776792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7650900000</v>
      </c>
      <c r="C5" s="18">
        <v>7235000000</v>
      </c>
      <c r="D5" s="18">
        <v>6876100000</v>
      </c>
      <c r="E5" s="18">
        <v>5916300000</v>
      </c>
      <c r="F5" s="6" t="s">
        <v>91</v>
      </c>
    </row>
    <row r="6" spans="1:6" x14ac:dyDescent="0.25">
      <c r="A6" t="s">
        <v>51</v>
      </c>
      <c r="B6" s="18">
        <v>1510000000</v>
      </c>
      <c r="C6" s="18">
        <v>1454300000</v>
      </c>
      <c r="D6" s="18">
        <v>1241500000</v>
      </c>
      <c r="E6" s="18">
        <v>879400000</v>
      </c>
      <c r="F6" s="6" t="s">
        <v>92</v>
      </c>
    </row>
    <row r="7" spans="1:6" x14ac:dyDescent="0.25">
      <c r="A7" t="s">
        <v>93</v>
      </c>
      <c r="B7" s="18">
        <v>505800000</v>
      </c>
      <c r="C7" s="18">
        <v>482000000</v>
      </c>
      <c r="D7" s="18">
        <v>459100000</v>
      </c>
      <c r="E7" s="18">
        <v>432800000</v>
      </c>
      <c r="F7" s="6" t="s">
        <v>94</v>
      </c>
    </row>
    <row r="8" spans="1:6" x14ac:dyDescent="0.25">
      <c r="A8" t="s">
        <v>95</v>
      </c>
      <c r="B8" s="18">
        <v>135600000</v>
      </c>
      <c r="C8" s="18">
        <v>149100000</v>
      </c>
      <c r="D8" s="18">
        <v>105400000</v>
      </c>
      <c r="E8" s="18">
        <v>94600000</v>
      </c>
      <c r="F8" s="6" t="s">
        <v>96</v>
      </c>
    </row>
    <row r="9" spans="1:6" x14ac:dyDescent="0.25">
      <c r="A9" t="s">
        <v>97</v>
      </c>
      <c r="B9" s="18">
        <v>159300000</v>
      </c>
      <c r="C9" s="18">
        <v>51100000</v>
      </c>
      <c r="D9" s="18">
        <v>-110600000</v>
      </c>
      <c r="E9" s="18">
        <v>197400000</v>
      </c>
      <c r="F9" s="6" t="s">
        <v>98</v>
      </c>
    </row>
    <row r="10" spans="1:6" x14ac:dyDescent="0.25">
      <c r="A10" t="s">
        <v>99</v>
      </c>
      <c r="B10" s="18">
        <v>4849500000</v>
      </c>
      <c r="C10" s="18">
        <v>4813800000</v>
      </c>
      <c r="D10" s="18">
        <v>2765200000</v>
      </c>
      <c r="E10" s="18">
        <v>2792200000</v>
      </c>
      <c r="F10" s="6" t="s">
        <v>100</v>
      </c>
    </row>
    <row r="11" spans="1:6" x14ac:dyDescent="0.25">
      <c r="A11" t="s">
        <v>101</v>
      </c>
      <c r="B11" s="18">
        <v>1248800000</v>
      </c>
      <c r="C11" s="18">
        <v>1541200000</v>
      </c>
      <c r="D11" s="18">
        <v>1595500000</v>
      </c>
      <c r="E11" s="18">
        <v>1613000000</v>
      </c>
      <c r="F11" s="6" t="s">
        <v>102</v>
      </c>
    </row>
    <row r="12" spans="1:6" x14ac:dyDescent="0.25">
      <c r="A12" t="s">
        <v>34</v>
      </c>
      <c r="B12" s="34">
        <v>401000000</v>
      </c>
      <c r="C12" s="34">
        <v>407200000</v>
      </c>
      <c r="D12" s="34">
        <v>409000000</v>
      </c>
      <c r="E12" s="34">
        <v>410200000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