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<sst xmlns="http://schemas.openxmlformats.org/spreadsheetml/2006/main" count="114" uniqueCount="102">
  <si>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Iron Mountain Incorporated (IRM)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</si>
  <si>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</si>
  <si>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</si>
  <si>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</si>
  <si>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</si>
  <si>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</si>
  <si>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</si>
  <si>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</si>
  <si>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</si>
  <si>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</si>
  <si>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</si>
  <si>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</si>
  <si>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</si>
  <si>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</si>
  <si>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</si>
  <si>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</si>
  <si>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</si>
  <si>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</si>
  <si>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</si>
  <si>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</si>
  <si>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</si>
  <si>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</si>
  <si>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</si>
  <si>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</si>
  <si>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</si>
  <si>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</si>
  <si>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</si>
  <si>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</si>
  <si>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</si>
  <si>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</si>
  <si>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</si>
  <si>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</si>
  <si>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</si>
  <si>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</si>
  <si>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</si>
  <si>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</si>
  <si>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</si>
  <si>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</si>
  <si>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</si>
  <si>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</si>
  <si>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</si>
  <si>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</si>
  <si>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</si>
  <si>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</si>
  <si>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</si>
  <si>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</si>
  <si>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</si>
  <si>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</si>
  <si>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</si>
  <si>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</si>
  <si>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</si>
  <si>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</si>
  <si>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</si>
  <si>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</si>
  <si>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</si>
  <si>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</si>
  <si>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</si>
  <si>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</si>
  <si>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</si>
  <si>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</si>
  <si>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</si>
  <si>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</si>
  <si>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</si>
  <si>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</si>
  <si>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</si>
  <si>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</si>
  <si>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</si>
  <si>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</si>
  <si>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</si>
  <si>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</si>
  <si>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</si>
  <si>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</si>
  <si>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</si>
  <si>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</si>
  <si>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</si>
  <si>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</si>
  <si>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</si>
  <si>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</si>
  <si>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</si>
  <si>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</si>
  <si>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</si>
  <si>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</si>
  <si>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</si>
  <si>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</si>
  <si>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</si>
  <si>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</si>
  <si>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</si>
  <si>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</si>
  <si>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</si>
  <si>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</si>
  <si>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</si>
  <si>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</si>
  <si>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</si>
  <si>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</si>
  <si>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</si>
  <si>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</si>
  <si>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</si>
  <si>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</si>
  <si>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2.6%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</si>
  <si>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Capital expenditure runs at 26.5% of revenue against depreciation of 14.9%. A perpetuity has to be a steady state, so the terminal year uses maintenance capex at depreciation and then charges the reinvestment terminal growth requires (g/ROIC of NOPAT). The bridge is shown under Terminal Value.</t>
  </si>
  <si>
    <t>Current EV/EBITDA of 21.5x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</si>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</sst>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0.10584603013300264</v>
      </c>
    </row>
    <row r="7" spans="1:2" x14ac:dyDescent="0.25">
      <c r="A7" t="s">
        <v>5</v>
      </c>
      <c r="B7" s="6">
        <v>0.20205051653413145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0.1486586572341101</v>
      </c>
    </row>
    <row r="10" spans="1:2" x14ac:dyDescent="0.25">
      <c r="A10" t="s">
        <v>8</v>
      </c>
      <c r="B10" s="6">
        <v>0.2650271708958629</v>
      </c>
    </row>
    <row r="11" spans="1:2" x14ac:dyDescent="0.25">
      <c r="A11" t="s">
        <v>9</v>
      </c>
      <c r="B11" s="6">
        <v>0.10775785408067107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0.08629678439391715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1.1366800000000001</v>
      </c>
      <c r="C19" s="8" t="s">
        <v>19</v>
      </c>
    </row>
    <row r="20" spans="1:2" x14ac:dyDescent="0.25">
      <c r="A20" t="s">
        <v>20</v>
      </c>
      <c r="B20" s="10">
        <f>B17+B19*B18</f>
        <v>0.11249740000000003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34039339008</v>
      </c>
    </row>
    <row r="23" spans="1:2" x14ac:dyDescent="0.25">
      <c r="A23" t="s">
        <v>24</v>
      </c>
      <c r="B23" s="11">
        <v>19051536000</v>
      </c>
    </row>
    <row r="24" spans="1:2" x14ac:dyDescent="0.25">
      <c r="A24" t="s">
        <v>25</v>
      </c>
      <c r="B24" s="10">
        <f>B22/(B22+B23)</f>
        <v>0.6411523449721027</v>
      </c>
    </row>
    <row r="25" spans="1:2" x14ac:dyDescent="0.25">
      <c r="A25" t="s">
        <v>26</v>
      </c>
      <c r="B25" s="10">
        <f>1-B24</f>
        <v>0.3588476550278973</v>
      </c>
    </row>
    <row r="26" spans="1:2" x14ac:dyDescent="0.25">
      <c r="A26" t="s">
        <v>27</v>
      </c>
      <c r="B26" s="12">
        <f>B24*B20+B25*B21*(1-B8)</f>
        <v>0.08629678439391715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6901737000</v>
      </c>
      <c r="C29" s="8" t="s">
        <v>30</v>
      </c>
    </row>
    <row r="30" spans="1:2" x14ac:dyDescent="0.25">
      <c r="A30" t="s">
        <v>31</v>
      </c>
      <c r="B30" s="11">
        <v>18893001000</v>
      </c>
    </row>
    <row r="31" spans="1:2" x14ac:dyDescent="0.25">
      <c r="A31" t="s">
        <v>32</v>
      </c>
      <c r="B31" s="13">
        <v>297816000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0.10584603013300264</v>
      </c>
      <c r="C5" s="10">
        <f>Assumptions!B6</f>
        <v>0.10584603013300264</v>
      </c>
      <c r="D5" s="10">
        <f>Assumptions!B6</f>
        <v>0.10584603013300264</v>
      </c>
      <c r="E5" s="10">
        <f>Assumptions!B6</f>
        <v>0.10584603013300264</v>
      </c>
      <c r="F5" s="10">
        <f>Assumptions!B6</f>
        <v>0.10584603013300264</v>
      </c>
    </row>
    <row r="6" spans="1:6" x14ac:dyDescent="0.25">
      <c r="A6" t="s">
        <v>43</v>
      </c>
      <c r="B6" s="18">
        <f>Assumptions!B29*(1+B5)</f>
        <v>7632258462.472059</v>
      </c>
      <c r="C6" s="18">
        <f>B6*(1+C5)</f>
        <v>8440102721.673741</v>
      </c>
      <c r="D6" s="18">
        <f>C6*(1+D5)</f>
        <v>9333454088.677658</v>
      </c>
      <c r="E6" s="18">
        <f>D6*(1+E5)</f>
        <v>10321363151.39283</v>
      </c>
      <c r="F6" s="18">
        <f>E6*(1+F5)</f>
        <v>11413838466.528818</v>
      </c>
    </row>
    <row r="7" spans="1:6" x14ac:dyDescent="0.25">
      <c r="A7" t="s">
        <v>5</v>
      </c>
      <c r="B7" s="10">
        <f>Assumptions!B7</f>
        <v>0.20205051653413145</v>
      </c>
      <c r="C7" s="10">
        <f>Assumptions!B7</f>
        <v>0.20205051653413145</v>
      </c>
      <c r="D7" s="10">
        <f>Assumptions!B7</f>
        <v>0.20205051653413145</v>
      </c>
      <c r="E7" s="10">
        <f>Assumptions!B7</f>
        <v>0.20205051653413145</v>
      </c>
      <c r="F7" s="10">
        <f>Assumptions!B7</f>
        <v>0.20205051653413145</v>
      </c>
    </row>
    <row r="8" spans="1:6" x14ac:dyDescent="0.25">
      <c r="A8" t="s">
        <v>44</v>
      </c>
      <c r="B8" s="18">
        <f>B6*B7</f>
        <v>1542101764.6644754</v>
      </c>
      <c r="C8" s="18">
        <f>C6*C7</f>
        <v>1705327114.5153081</v>
      </c>
      <c r="D8" s="18">
        <f>D6*D7</f>
        <v>1885829219.664922</v>
      </c>
      <c r="E8" s="18">
        <f>E6*E7</f>
        <v>2085436756.075272</v>
      </c>
      <c r="F8" s="18">
        <f>F6*F7</f>
        <v>2306171957.7992864</v>
      </c>
    </row>
    <row r="9" spans="1:6" x14ac:dyDescent="0.25">
      <c r="A9" t="s">
        <v>45</v>
      </c>
      <c r="B9" s="18">
        <f>B8*(1-Assumptions!B8)</f>
        <v>1218260394.0849357</v>
      </c>
      <c r="C9" s="18">
        <f>C8*(1-Assumptions!B8)</f>
        <v>1347208420.4670935</v>
      </c>
      <c r="D9" s="18">
        <f>D8*(1-Assumptions!B8)</f>
        <v>1489805083.5352883</v>
      </c>
      <c r="E9" s="18">
        <f>E8*(1-Assumptions!B8)</f>
        <v>1647495037.299465</v>
      </c>
      <c r="F9" s="18">
        <f>F8*(1-Assumptions!B8)</f>
        <v>1821875846.6614363</v>
      </c>
    </row>
    <row r="10" spans="1:6" x14ac:dyDescent="0.25">
      <c r="A10" t="s">
        <v>46</v>
      </c>
      <c r="B10" s="18">
        <f>B6*Assumptions!B9</f>
        <v>1134601294.6947699</v>
      </c>
      <c r="C10" s="18">
        <f>C6*Assumptions!B9</f>
        <v>1254694337.5219765</v>
      </c>
      <c r="D10" s="18">
        <f>D6*Assumptions!B9</f>
        <v>1387498752.1790354</v>
      </c>
      <c r="E10" s="18">
        <f>E6*Assumptions!B9</f>
        <v>1534359986.911681</v>
      </c>
      <c r="F10" s="18">
        <f>F6*Assumptions!B9</f>
        <v>1696765900.3212082</v>
      </c>
    </row>
    <row r="11" spans="1:6" x14ac:dyDescent="0.25">
      <c r="A11" t="s">
        <v>47</v>
      </c>
      <c r="B11" s="18">
        <f>-B6*Assumptions!B10</f>
        <v>-2022755867.8549783</v>
      </c>
      <c r="C11" s="18">
        <f>-C6*Assumptions!B10</f>
        <v>-2236856546.395664</v>
      </c>
      <c r="D11" s="18">
        <f>-D6*Assumptions!B10</f>
        <v>-2473618931.8086643</v>
      </c>
      <c r="E11" s="18">
        <f>-E6*Assumptions!B10</f>
        <v>-2735441675.8024497</v>
      </c>
      <c r="F11" s="18">
        <f>-F6*Assumptions!B10</f>
        <v>-3024977317.846507</v>
      </c>
    </row>
    <row r="12" spans="1:6" x14ac:dyDescent="0.25">
      <c r="A12" t="s">
        <v>48</v>
      </c>
      <c r="B12" s="18">
        <f>-(B6-Assumptions!B29)*Assumptions!B11</f>
        <v>-78719425.15586258</v>
      </c>
      <c r="C12" s="18">
        <f>-(C6-B6)*Assumptions!B11</f>
        <v>-87051563.80296268</v>
      </c>
      <c r="D12" s="18">
        <f>-(D6-C6)*Assumptions!B11</f>
        <v>-96265626.24837609</v>
      </c>
      <c r="E12" s="18">
        <f>-(E6-D6)*Assumptions!B11</f>
        <v>-106454960.625034</v>
      </c>
      <c r="F12" s="18">
        <f>-(F6-E6)*Assumptions!B11</f>
        <v>-117722795.59515896</v>
      </c>
    </row>
    <row r="13" spans="1:6" x14ac:dyDescent="0.25">
      <c r="A13" s="19" t="s">
        <v>49</v>
      </c>
      <c r="B13" s="20">
        <f>B9+B10+B11+B12</f>
        <v>251386395.76886463</v>
      </c>
      <c r="C13" s="20">
        <f>C9+C10+C11+C12</f>
        <v>277994647.79044306</v>
      </c>
      <c r="D13" s="20">
        <f>D9+D10+D11+D12</f>
        <v>307419277.6572836</v>
      </c>
      <c r="E13" s="20">
        <f>E9+E10+E11+E12</f>
        <v>339958387.7836622</v>
      </c>
      <c r="F13" s="20">
        <f>F9+F10+F11+F12</f>
        <v>375941633.54097855</v>
      </c>
    </row>
    <row r="14" spans="1:6" x14ac:dyDescent="0.25">
      <c r="A14" t="s">
        <v>50</v>
      </c>
      <c r="B14" s="21">
        <f>1/(1+Assumptions!$B$26)^(1-0.5*Assumptions!$B$32)</f>
        <v>0.9594575242403385</v>
      </c>
      <c r="C14" s="21">
        <f>1/(1+Assumptions!$B$26)^(2-0.5*Assumptions!$B$32)</f>
        <v>0.8832370103863038</v>
      </c>
      <c r="D14" s="21">
        <f>1/(1+Assumptions!$B$26)^(3-0.5*Assumptions!$B$32)</f>
        <v>0.8130715501280735</v>
      </c>
      <c r="E14" s="21">
        <f>1/(1+Assumptions!$B$26)^(4-0.5*Assumptions!$B$32)</f>
        <v>0.7484801223836031</v>
      </c>
      <c r="F14" s="21">
        <f>1/(1+Assumptions!$B$26)^(5-0.5*Assumptions!$B$32)</f>
        <v>0.6890199189912969</v>
      </c>
    </row>
    <row r="15" spans="1:6" x14ac:dyDescent="0.25">
      <c r="A15" s="19" t="s">
        <v>51</v>
      </c>
      <c r="B15" s="20">
        <f>B13*B14</f>
        <v>241194568.91209677</v>
      </c>
      <c r="C15" s="20">
        <f>C13*C14</f>
        <v>245535161.6178244</v>
      </c>
      <c r="D15" s="20">
        <f>D13*D14</f>
        <v>249953868.6240602</v>
      </c>
      <c r="E15" s="20">
        <f>E13*E14</f>
        <v>254452095.69364786</v>
      </c>
      <c r="F15" s="20">
        <f>F13*F14</f>
        <v>259031273.88786086</v>
      </c>
    </row>
    <row r="17" spans="1:2" x14ac:dyDescent="0.25">
      <c r="A17" s="22" t="s">
        <v>52</v>
      </c>
      <c r="B17" s="23">
        <f>SUM(B15:F15)</f>
        <v>1250166968.73549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375941633.54097855</v>
      </c>
    </row>
    <row r="5" spans="1:2" x14ac:dyDescent="0.25">
      <c r="A5" t="s">
        <v>56</v>
      </c>
      <c r="B5" s="18">
        <f>IF(Assumptions!$B$33=0,B4,B4-Forecast!F11-Forecast!F10-Forecast!F12)</f>
        <v>2265067606.0862565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0.2896979322645791</v>
      </c>
    </row>
    <row r="7" spans="1:2" x14ac:dyDescent="0.25">
      <c r="A7" t="s">
        <v>58</v>
      </c>
      <c r="B7" s="18">
        <f>-MAX(Forecast!F9,0)*B6</f>
        <v>-656185401.9226687</v>
      </c>
    </row>
    <row r="8" spans="1:2" x14ac:dyDescent="0.25">
      <c r="A8" t="s">
        <v>59</v>
      </c>
      <c r="B8" s="18">
        <f>IF(OR(Assumptions!$B$33=0,Assumptions!B12&lt;=0),B5,MAX(B5+B7,0))</f>
        <v>1608882204.1635878</v>
      </c>
    </row>
    <row r="9" spans="1:2" x14ac:dyDescent="0.25">
      <c r="A9" t="s">
        <v>60</v>
      </c>
      <c r="B9" s="18">
        <f>B8*(1+Assumptions!B12)/(Assumptions!B26-Assumptions!B12)</f>
        <v>26903601478.82942</v>
      </c>
    </row>
    <row r="10" spans="1:2" x14ac:dyDescent="0.25">
      <c r="A10" t="s">
        <v>61</v>
      </c>
      <c r="B10" s="18">
        <f>B9/(1+Assumptions!B26)^(5-0.5*Assumptions!B32)</f>
        <v>18537117311.51718</v>
      </c>
    </row>
    <row r="11" spans="1:2" x14ac:dyDescent="0.25">
      <c r="A11" t="s">
        <v>62</v>
      </c>
      <c r="B11" s="18">
        <f>Forecast!B17+B10</f>
        <v>19787284280.25267</v>
      </c>
    </row>
    <row r="12" spans="1:2" x14ac:dyDescent="0.25">
      <c r="A12" t="s">
        <v>63</v>
      </c>
      <c r="B12" s="18">
        <f>-Assumptions!B30</f>
        <v>-18893001000</v>
      </c>
    </row>
    <row r="13" spans="1:2" x14ac:dyDescent="0.25">
      <c r="A13" t="s">
        <v>64</v>
      </c>
      <c r="B13" s="18">
        <f>B11+B12</f>
        <v>894283280.2526703</v>
      </c>
    </row>
    <row r="14" spans="1:2" x14ac:dyDescent="0.25">
      <c r="A14" s="19" t="s">
        <v>65</v>
      </c>
      <c r="B14" s="24">
        <f>B13/Assumptions!B31</f>
        <v>3.002804685620216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4002937858.120495</v>
      </c>
    </row>
    <row r="18" spans="1:2" x14ac:dyDescent="0.25">
      <c r="A18" t="s">
        <v>60</v>
      </c>
      <c r="B18" s="18">
        <f>B17*Assumptions!B13</f>
        <v>80058757162.4099</v>
      </c>
    </row>
    <row r="19" spans="1:2" x14ac:dyDescent="0.25">
      <c r="A19" t="s">
        <v>61</v>
      </c>
      <c r="B19" s="18">
        <f>B18/(1+Assumptions!B26)^(5-0.5*Assumptions!B32)</f>
        <v>55162078374.58758</v>
      </c>
    </row>
    <row r="20" spans="1:2" x14ac:dyDescent="0.25">
      <c r="A20" t="s">
        <v>62</v>
      </c>
      <c r="B20" s="18">
        <f>Forecast!B17+B19</f>
        <v>56412245343.32307</v>
      </c>
    </row>
    <row r="21" spans="1:2" x14ac:dyDescent="0.25">
      <c r="A21" t="s">
        <v>63</v>
      </c>
      <c r="B21" s="18">
        <f>-Assumptions!B30</f>
        <v>-18893001000</v>
      </c>
    </row>
    <row r="22" spans="1:2" x14ac:dyDescent="0.25">
      <c r="A22" t="s">
        <v>64</v>
      </c>
      <c r="B22" s="18">
        <f>B20+B21</f>
        <v>37519244343.32307</v>
      </c>
    </row>
    <row r="23" spans="1:2" x14ac:dyDescent="0.25">
      <c r="A23" s="19" t="s">
        <v>65</v>
      </c>
      <c r="B23" s="25">
        <f>B22/Assumptions!B31</f>
        <v>125.981291614027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114.34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3.002804685620216</v>
      </c>
    </row>
    <row r="29" spans="1:2" x14ac:dyDescent="0.25">
      <c r="A29" s="19" t="s">
        <v>73</v>
      </c>
      <c r="B29" s="12">
        <f>B28/B26-1</f>
        <v>-0.973737933482419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0.066297</v>
      </c>
      <c r="B5" s="31">
        <v>30.326394919286557</v>
      </c>
      <c r="C5" s="31">
        <v>31.790996563274707</v>
      </c>
      <c r="D5" s="31">
        <v>33.51491141059482</v>
      </c>
      <c r="E5" s="31">
        <v>35.60530253395217</v>
      </c>
      <c r="F5" s="31">
        <v>38.23781437660192</v>
      </c>
    </row>
    <row r="6" spans="1:6" x14ac:dyDescent="0.25">
      <c r="A6" s="30">
        <v>0.076297</v>
      </c>
      <c r="B6" s="31">
        <v>13.53627365777502</v>
      </c>
      <c r="C6" s="31">
        <v>13.894288557566428</v>
      </c>
      <c r="D6" s="31">
        <v>14.252303457357813</v>
      </c>
      <c r="E6" s="31">
        <v>14.61031835714926</v>
      </c>
      <c r="F6" s="31">
        <v>14.968333256940669</v>
      </c>
    </row>
    <row r="7" spans="1:6" x14ac:dyDescent="0.25">
      <c r="A7" s="30">
        <v>0.086297</v>
      </c>
      <c r="B7" s="31">
        <v>2.395339637764353</v>
      </c>
      <c r="C7" s="31">
        <v>2.698965553809241</v>
      </c>
      <c r="D7" s="32">
        <v>3.002591469854077</v>
      </c>
      <c r="E7" s="31">
        <v>3.306217385898939</v>
      </c>
      <c r="F7" s="31">
        <v>3.609843301943801</v>
      </c>
    </row>
    <row r="8" spans="1:6" x14ac:dyDescent="0.25">
      <c r="A8" s="30">
        <v>0.096297</v>
      </c>
      <c r="B8" s="31">
        <v>-6.332696605164714</v>
      </c>
      <c r="C8" s="31">
        <v>-6.071592695931858</v>
      </c>
      <c r="D8" s="31">
        <v>-5.810488786699021</v>
      </c>
      <c r="E8" s="31">
        <v>-5.549384877466158</v>
      </c>
      <c r="F8" s="31">
        <v>-5.288280968233328</v>
      </c>
    </row>
    <row r="9" spans="1:6" x14ac:dyDescent="0.25">
      <c r="A9" s="30">
        <v>0.106297</v>
      </c>
      <c r="B9" s="31">
        <v>-13.333989047515933</v>
      </c>
      <c r="C9" s="31">
        <v>-13.106919270595267</v>
      </c>
      <c r="D9" s="31">
        <v>-12.879849493674627</v>
      </c>
      <c r="E9" s="31">
        <v>-12.652779716753955</v>
      </c>
      <c r="F9" s="31">
        <v>-12.42570993983331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6901737000</v>
      </c>
      <c r="C5" s="18">
        <v>6149909000</v>
      </c>
      <c r="D5" s="18">
        <v>5480289000</v>
      </c>
      <c r="E5" s="18">
        <v>5103574000</v>
      </c>
      <c r="F5" s="8" t="s">
        <v>84</v>
      </c>
    </row>
    <row r="6" spans="1:6" x14ac:dyDescent="0.25">
      <c r="A6" t="s">
        <v>44</v>
      </c>
      <c r="B6" s="18">
        <v>1403920000</v>
      </c>
      <c r="C6" s="18">
        <v>1212916000</v>
      </c>
      <c r="D6" s="18">
        <v>1110043000</v>
      </c>
      <c r="E6" s="18">
        <v>1046282000</v>
      </c>
      <c r="F6" s="8" t="s">
        <v>85</v>
      </c>
    </row>
    <row r="7" spans="1:6" x14ac:dyDescent="0.25">
      <c r="A7" t="s">
        <v>86</v>
      </c>
      <c r="B7" s="18">
        <v>1057204000</v>
      </c>
      <c r="C7" s="18">
        <v>926485000</v>
      </c>
      <c r="D7" s="18">
        <v>793018000</v>
      </c>
      <c r="E7" s="18">
        <v>745639000</v>
      </c>
      <c r="F7" s="8" t="s">
        <v>87</v>
      </c>
    </row>
    <row r="8" spans="1:6" x14ac:dyDescent="0.25">
      <c r="A8" t="s">
        <v>88</v>
      </c>
      <c r="B8" s="18">
        <v>2347115000</v>
      </c>
      <c r="C8" s="18">
        <v>1853950000</v>
      </c>
      <c r="D8" s="18">
        <v>1345097000</v>
      </c>
      <c r="E8" s="18">
        <v>883583000</v>
      </c>
      <c r="F8" s="8" t="s">
        <v>89</v>
      </c>
    </row>
    <row r="9" spans="1:6" x14ac:dyDescent="0.25">
      <c r="A9" t="s">
        <v>90</v>
      </c>
      <c r="B9" s="18">
        <v>60547000</v>
      </c>
      <c r="C9" s="18">
        <v>72398000</v>
      </c>
      <c r="D9" s="18">
        <v>40594000</v>
      </c>
      <c r="E9" s="18">
        <v>252436000</v>
      </c>
      <c r="F9" s="8" t="s">
        <v>91</v>
      </c>
    </row>
    <row r="10" spans="1:6" x14ac:dyDescent="0.25">
      <c r="A10" t="s">
        <v>92</v>
      </c>
      <c r="B10" s="18">
        <v>19051536000</v>
      </c>
      <c r="C10" s="18">
        <v>16369312000</v>
      </c>
      <c r="D10" s="18">
        <v>14787359000</v>
      </c>
      <c r="E10" s="18">
        <v>13286900000</v>
      </c>
      <c r="F10" s="8" t="s">
        <v>93</v>
      </c>
    </row>
    <row r="11" spans="1:6" x14ac:dyDescent="0.25">
      <c r="A11" t="s">
        <v>94</v>
      </c>
      <c r="B11" s="18">
        <v>158535000</v>
      </c>
      <c r="C11" s="18">
        <v>155716000</v>
      </c>
      <c r="D11" s="18">
        <v>222789000</v>
      </c>
      <c r="E11" s="18">
        <v>141797000</v>
      </c>
      <c r="F11" s="8" t="s">
        <v>95</v>
      </c>
    </row>
    <row r="12" spans="1:6" x14ac:dyDescent="0.25">
      <c r="A12" t="s">
        <v>32</v>
      </c>
      <c r="B12" s="34">
        <v>297816000</v>
      </c>
      <c r="C12" s="34">
        <v>296234000</v>
      </c>
      <c r="D12" s="34">
        <v>293965000</v>
      </c>
      <c r="E12" s="34">
        <v>292444177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2026-09-19T00:06:45Z</dcterms:modified>
</cp:coreProperties>
</file>