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<sst xmlns="http://schemas.openxmlformats.org/spreadsheetml/2006/main" count="122" uniqueCount="109">
  <si>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Iron Mountain Incorporated (IRM)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</si>
  <si>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</si>
  <si>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</si>
  <si>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</si>
  <si>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</si>
  <si>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</si>
  <si>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</si>
  <si>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</si>
  <si>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</si>
  <si>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</si>
  <si>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</si>
  <si>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</si>
  <si>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</si>
  <si>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</si>
  <si>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</si>
  <si>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</si>
  <si>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</si>
  <si>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</si>
  <si>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</si>
  <si>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</si>
  <si>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</si>
  <si>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</si>
  <si>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</si>
  <si>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</si>
  <si>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1.7x interest cover, capped at 200bp because one year's cover is too noisy to charge more.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</si>
  <si>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</si>
  <si>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</si>
  <si>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</si>
  <si>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</si>
  <si>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</si>
  <si>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</si>
  <si>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</si>
  <si>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</si>
  <si>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</si>
  <si>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</si>
  <si>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</si>
  <si>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</si>
  <si>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</si>
  <si>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</si>
  <si>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</si>
  <si>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</si>
  <si>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</si>
  <si>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</si>
  <si>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</si>
  <si>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</si>
  <si>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</si>
  <si>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</si>
  <si>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</si>
  <si>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</si>
  <si>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</si>
  <si>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</si>
  <si>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</si>
  <si>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</si>
  <si>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</si>
  <si>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</si>
  <si>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</si>
  <si>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</si>
  <si>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</si>
  <si>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</si>
  <si>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</si>
  <si>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</si>
  <si>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</si>
  <si>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</si>
  <si>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</si>
  <si>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</si>
  <si>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</si>
  <si>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</si>
  <si>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</si>
  <si>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</si>
  <si>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</si>
  <si>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</si>
  <si>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</si>
  <si>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</si>
  <si>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</si>
  <si>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</si>
  <si>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</si>
  <si>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</si>
  <si>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</si>
  <si>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</si>
  <si>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</si>
  <si>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</si>
  <si>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</si>
  <si>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</si>
  <si>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</si>
  <si>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</si>
  <si>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</si>
  <si>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</si>
  <si>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</si>
  <si>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</si>
  <si>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</si>
  <si>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</si>
  <si>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</si>
  <si>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</si>
  <si>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</si>
  <si>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</si>
  <si>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</si>
  <si>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</si>
  <si>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</si>
  <si>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</si>
  <si>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</si>
  <si>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</si>
  <si>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</si>
  <si>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</si>
  <si>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</si>
  <si>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</si>
  <si>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</si>
  <si>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26.5% of revenue against depreciation of 14.9%.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</si>
  <si>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21.6x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</si>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</sst>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0.1644405357665759</v>
      </c>
    </row>
    <row r="7" spans="1:2" x14ac:dyDescent="0.25">
      <c r="A7" t="s">
        <v>4</v>
      </c>
      <c r="B7" s="5">
        <v>0.20205051653413145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0.1486586572341101</v>
      </c>
    </row>
    <row r="10" spans="1:3" x14ac:dyDescent="0.25">
      <c r="A10" t="s">
        <v>7</v>
      </c>
      <c r="B10" s="5">
        <v>0.2650271708958629</v>
      </c>
      <c r="C10" s="6" t="s">
        <v>8</v>
      </c>
    </row>
    <row r="11" spans="1:2" x14ac:dyDescent="0.25">
      <c r="A11" t="s">
        <v>9</v>
      </c>
      <c r="B11" s="5">
        <v>0.11881421426913957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0.08174810374460334</v>
      </c>
      <c r="C14" s="6" t="s">
        <v>13</v>
      </c>
    </row>
    <row r="15" spans="1:3" x14ac:dyDescent="0.25">
      <c r="A15" t="s">
        <v>14</v>
      </c>
      <c r="B15" s="5">
        <v>0.09950760005337553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1.134</v>
      </c>
      <c r="C19" s="6" t="s">
        <v>21</v>
      </c>
    </row>
    <row r="20" spans="1:2" x14ac:dyDescent="0.25">
      <c r="A20" t="s">
        <v>22</v>
      </c>
      <c r="B20" s="9">
        <f>B17+B19*B18</f>
        <v>0.0969082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34289410048</v>
      </c>
    </row>
    <row r="23" spans="1:2" x14ac:dyDescent="0.25">
      <c r="A23" t="s">
        <v>26</v>
      </c>
      <c r="B23" s="10">
        <v>19051536000</v>
      </c>
    </row>
    <row r="24" spans="1:2" x14ac:dyDescent="0.25">
      <c r="A24" t="s">
        <v>27</v>
      </c>
      <c r="B24" s="9">
        <f>B22/(B22+B23)</f>
        <v>0.6428346812061402</v>
      </c>
    </row>
    <row r="25" spans="1:2" x14ac:dyDescent="0.25">
      <c r="A25" t="s">
        <v>28</v>
      </c>
      <c r="B25" s="9">
        <f>1-B24</f>
        <v>0.3571653187938598</v>
      </c>
    </row>
    <row r="26" spans="1:2" x14ac:dyDescent="0.25">
      <c r="A26" t="s">
        <v>29</v>
      </c>
      <c r="B26" s="11">
        <f>B24*B20+B25*B21*(1-B8)</f>
        <v>0.08174810374460334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6901737000</v>
      </c>
      <c r="C29" s="6" t="s">
        <v>32</v>
      </c>
    </row>
    <row r="30" spans="1:2" x14ac:dyDescent="0.25">
      <c r="A30" t="s">
        <v>33</v>
      </c>
      <c r="B30" s="10">
        <v>18893001000</v>
      </c>
    </row>
    <row r="31" spans="1:2" x14ac:dyDescent="0.25">
      <c r="A31" t="s">
        <v>34</v>
      </c>
      <c r="B31" s="12">
        <v>297816000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0.1644405357665759</v>
      </c>
      <c r="C5" s="5">
        <v>0.08953299646720381</v>
      </c>
      <c r="D5" s="5">
        <v>0.08146637190880333</v>
      </c>
      <c r="E5" s="5">
        <v>0.07339974735040286</v>
      </c>
      <c r="F5" s="5">
        <v>0.06533312279200237</v>
      </c>
      <c r="G5" s="5">
        <v>0.0572664982336019</v>
      </c>
      <c r="H5" s="5">
        <v>0.04919987367520143</v>
      </c>
      <c r="I5" s="5">
        <v>0.04113324911680095</v>
      </c>
      <c r="J5" s="5">
        <v>0.03306662455840047</v>
      </c>
      <c r="K5" s="5">
        <v>0.024999999999999994</v>
      </c>
    </row>
    <row r="6" spans="1:11" x14ac:dyDescent="0.25">
      <c r="A6" t="s">
        <v>50</v>
      </c>
      <c r="B6" s="18">
        <f>Assumptions!B29*(1+B5)</f>
        <v>8036662330</v>
      </c>
      <c r="C6" s="18">
        <f>B6*(1+C5)</f>
        <v>8756208790</v>
      </c>
      <c r="D6" s="18">
        <f>C6*(1+D5)</f>
        <v>9469545351.797274</v>
      </c>
      <c r="E6" s="18">
        <f>D6*(1+E5)</f>
        <v>10164607588.142376</v>
      </c>
      <c r="F6" s="18">
        <f>E6*(1+F5)</f>
        <v>10828693143.831001</v>
      </c>
      <c r="G6" s="18">
        <f>F6*(1+G5)</f>
        <v>11448814480.624416</v>
      </c>
      <c r="H6" s="18">
        <f>G6*(1+H5)</f>
        <v>12012094706.801956</v>
      </c>
      <c r="I6" s="18">
        <f>H6*(1+I5)</f>
        <v>12506191190.791449</v>
      </c>
      <c r="J6" s="18">
        <f>I6*(1+J5)</f>
        <v>12919728719.552923</v>
      </c>
      <c r="K6" s="18">
        <f>J6*(1+K5)</f>
        <v>13242721937.541744</v>
      </c>
    </row>
    <row r="7" spans="1:11" x14ac:dyDescent="0.25">
      <c r="A7" t="s">
        <v>4</v>
      </c>
      <c r="B7" s="9">
        <f>Assumptions!B7</f>
        <v>0.20205051653413145</v>
      </c>
      <c r="C7" s="9">
        <f>Assumptions!B7</f>
        <v>0.20205051653413145</v>
      </c>
      <c r="D7" s="9">
        <f>Assumptions!B7</f>
        <v>0.20205051653413145</v>
      </c>
      <c r="E7" s="9">
        <f>Assumptions!B7</f>
        <v>0.20205051653413145</v>
      </c>
      <c r="F7" s="9">
        <f>Assumptions!B7</f>
        <v>0.20205051653413145</v>
      </c>
      <c r="G7" s="9">
        <f>Assumptions!B7</f>
        <v>0.20205051653413145</v>
      </c>
      <c r="H7" s="9">
        <f>Assumptions!B7</f>
        <v>0.20205051653413145</v>
      </c>
      <c r="I7" s="9">
        <f>Assumptions!B7</f>
        <v>0.20205051653413145</v>
      </c>
      <c r="J7" s="9">
        <f>Assumptions!B7</f>
        <v>0.20205051653413145</v>
      </c>
      <c r="K7" s="9">
        <f>Assumptions!B7</f>
        <v>0.20205051653413145</v>
      </c>
    </row>
    <row r="8" spans="1:11" x14ac:dyDescent="0.25">
      <c r="A8" t="s">
        <v>51</v>
      </c>
      <c r="B8" s="18">
        <f>B6*B7</f>
        <v>1623811774.9868963</v>
      </c>
      <c r="C8" s="18">
        <f>C6*C7</f>
        <v>1769196508.900202</v>
      </c>
      <c r="D8" s="18">
        <f>D6*D7</f>
        <v>1913326529.6740227</v>
      </c>
      <c r="E8" s="18">
        <f>E6*E7</f>
        <v>2053764213.550919</v>
      </c>
      <c r="F8" s="18">
        <f>F6*F7</f>
        <v>2187943043.1006618</v>
      </c>
      <c r="G8" s="18">
        <f>G6*G7</f>
        <v>2313238879.513607</v>
      </c>
      <c r="H8" s="18">
        <f>H6*H7</f>
        <v>2427049940.1662416</v>
      </c>
      <c r="I8" s="18">
        <f>I6*I7</f>
        <v>2526882389.9740167</v>
      </c>
      <c r="J8" s="18">
        <f>J6*J7</f>
        <v>2610437861.266521</v>
      </c>
      <c r="K8" s="18">
        <f>K6*K7</f>
        <v>2675698807.7981834</v>
      </c>
    </row>
    <row r="9" spans="1:11" x14ac:dyDescent="0.25">
      <c r="A9" t="s">
        <v>52</v>
      </c>
      <c r="B9" s="18">
        <f>B8*(1-Assumptions!B8)</f>
        <v>1282811302.239648</v>
      </c>
      <c r="C9" s="18">
        <f>C8*(1-Assumptions!B8)</f>
        <v>1397665242.0311596</v>
      </c>
      <c r="D9" s="18">
        <f>D8*(1-Assumptions!B8)</f>
        <v>1511527958.442478</v>
      </c>
      <c r="E9" s="18">
        <f>E8*(1-Assumptions!B8)</f>
        <v>1622473728.7052262</v>
      </c>
      <c r="F9" s="18">
        <f>F8*(1-Assumptions!B8)</f>
        <v>1728475004.0495229</v>
      </c>
      <c r="G9" s="18">
        <f>G8*(1-Assumptions!B8)</f>
        <v>1827458714.8157496</v>
      </c>
      <c r="H9" s="18">
        <f>H8*(1-Assumptions!B8)</f>
        <v>1917369452.7313309</v>
      </c>
      <c r="I9" s="18">
        <f>I8*(1-Assumptions!B8)</f>
        <v>1996237088.0794733</v>
      </c>
      <c r="J9" s="18">
        <f>J8*(1-Assumptions!B8)</f>
        <v>2062245910.4005516</v>
      </c>
      <c r="K9" s="18">
        <f>K8*(1-Assumptions!B8)</f>
        <v>2113802058.160565</v>
      </c>
    </row>
    <row r="10" spans="1:11" x14ac:dyDescent="0.25">
      <c r="A10" t="s">
        <v>53</v>
      </c>
      <c r="B10" s="18">
        <f>B6*Assumptions!B9</f>
        <v>1194719430.6217546</v>
      </c>
      <c r="C10" s="18">
        <f>C6*Assumptions!B9</f>
        <v>1301686241.1829119</v>
      </c>
      <c r="D10" s="18">
        <f>D6*Assumptions!B9</f>
        <v>1407729896.6156914</v>
      </c>
      <c r="E10" s="18">
        <f>E6*Assumptions!B9</f>
        <v>1511056915.364892</v>
      </c>
      <c r="F10" s="18">
        <f>F6*Assumptions!B9</f>
        <v>1609778982.3621309</v>
      </c>
      <c r="G10" s="18">
        <f>G6*Assumptions!B9</f>
        <v>1701965387.6120613</v>
      </c>
      <c r="H10" s="18">
        <f>H6*Assumptions!B9</f>
        <v>1785701869.68214</v>
      </c>
      <c r="I10" s="18">
        <f>I6*Assumptions!B9</f>
        <v>1859153589.536113</v>
      </c>
      <c r="J10" s="18">
        <f>J6*Assumptions!B9</f>
        <v>1920629523.2777061</v>
      </c>
      <c r="K10" s="18">
        <f>K6*Assumptions!B9</f>
        <v>1968645261.3596485</v>
      </c>
    </row>
    <row r="11" spans="1:11" x14ac:dyDescent="0.25">
      <c r="A11" t="s">
        <v>54</v>
      </c>
      <c r="B11" s="18">
        <f>-B6*B19</f>
        <v>-2129933880.7652538</v>
      </c>
      <c r="C11" s="18">
        <f>-C6*C19</f>
        <v>-2218642556.7845445</v>
      </c>
      <c r="D11" s="18">
        <f>-D6*D19</f>
        <v>-2289087818.6396046</v>
      </c>
      <c r="E11" s="18">
        <f>-E6*E19</f>
        <v>-2338710833.1099577</v>
      </c>
      <c r="F11" s="18">
        <f>-F6*F19</f>
        <v>-2365375517.3897033</v>
      </c>
      <c r="G11" s="18">
        <f>-G6*G19</f>
        <v>-2367478634.869763</v>
      </c>
      <c r="H11" s="18">
        <f>-H6*H19</f>
        <v>-2344043646.2255344</v>
      </c>
      <c r="I11" s="18">
        <f>-I6*I19</f>
        <v>-2294791995.381078</v>
      </c>
      <c r="J11" s="18">
        <f>-J6*J19</f>
        <v>-2220186430.652941</v>
      </c>
      <c r="K11" s="18">
        <f>-K6*K19</f>
        <v>-2121442336.588264</v>
      </c>
    </row>
    <row r="12" spans="1:11" x14ac:dyDescent="0.25">
      <c r="A12" t="s">
        <v>55</v>
      </c>
      <c r="B12" s="18">
        <f>-(B6-Assumptions!B29)*Assumptions!B11</f>
        <v>-134845261.33809394</v>
      </c>
      <c r="C12" s="18">
        <f>-(C6-B6)*Assumptions!B11</f>
        <v>-85492347.27504086</v>
      </c>
      <c r="D12" s="18">
        <f>-(D6-C6)*Assumptions!B11</f>
        <v>-84754523.0993926</v>
      </c>
      <c r="E12" s="18">
        <f>-(E6-D6)*Assumptions!B11</f>
        <v>-82583273.47949432</v>
      </c>
      <c r="F12" s="18">
        <f>-(F6-E6)*Assumptions!B11</f>
        <v>-78902803.50662895</v>
      </c>
      <c r="G12" s="18">
        <f>-(G6-F6)*Assumptions!B11</f>
        <v>-73679229.38263808</v>
      </c>
      <c r="H12" s="18">
        <f>-(H6-G6)*Assumptions!B11</f>
        <v>-66925697.486627616</v>
      </c>
      <c r="I12" s="18">
        <f>-(I6-H6)*Assumptions!B11</f>
        <v>-58705685.51835604</v>
      </c>
      <c r="J12" s="18">
        <f>-(J6-I6)*Assumptions!B11</f>
        <v>-49134136.55059631</v>
      </c>
      <c r="K12" s="18">
        <f>-(K6-J6)*Assumptions!B11</f>
        <v>-38376185.40960269</v>
      </c>
    </row>
    <row r="13" spans="1:11" x14ac:dyDescent="0.25">
      <c r="A13" s="19" t="s">
        <v>56</v>
      </c>
      <c r="B13" s="20">
        <f>B9+B10+B11+B12</f>
        <v>212751590.7580548</v>
      </c>
      <c r="C13" s="20">
        <f>C9+C10+C11+C12</f>
        <v>395216579.15448594</v>
      </c>
      <c r="D13" s="20">
        <f>D9+D10+D11+D12</f>
        <v>545415513.3191721</v>
      </c>
      <c r="E13" s="20">
        <f>E9+E10+E11+E12</f>
        <v>712236537.4806659</v>
      </c>
      <c r="F13" s="20">
        <f>F9+F10+F11+F12</f>
        <v>893975665.5153213</v>
      </c>
      <c r="G13" s="20">
        <f>G9+G10+G11+G12</f>
        <v>1088266238.1754098</v>
      </c>
      <c r="H13" s="20">
        <f>H9+H10+H11+H12</f>
        <v>1292101978.7013092</v>
      </c>
      <c r="I13" s="20">
        <f>I9+I10+I11+I12</f>
        <v>1501892996.7161524</v>
      </c>
      <c r="J13" s="20">
        <f>J9+J10+J11+J12</f>
        <v>1713554866.4747205</v>
      </c>
      <c r="K13" s="20">
        <f>K9+K10+K11+K12</f>
        <v>1922628797.5223465</v>
      </c>
    </row>
    <row r="14" spans="1:11" x14ac:dyDescent="0.25">
      <c r="A14" t="s">
        <v>57</v>
      </c>
      <c r="B14" s="21">
        <f>1/(1+Assumptions!$B$26)^(1-0.5*Assumptions!$B$32)</f>
        <v>0.9614726364536388</v>
      </c>
      <c r="C14" s="21">
        <f>1/(1+Assumptions!$B$26)^(2-0.5*Assumptions!$B$32)</f>
        <v>0.8888137941960645</v>
      </c>
      <c r="D14" s="21">
        <f>1/(1+Assumptions!$B$26)^(3-0.5*Assumptions!$B$32)</f>
        <v>0.821645807484503</v>
      </c>
      <c r="E14" s="21">
        <f>1/(1+Assumptions!$B$26)^(4-0.5*Assumptions!$B$32)</f>
        <v>0.7595537303372898</v>
      </c>
      <c r="F14" s="21">
        <f>1/(1+Assumptions!$B$26)^(5-0.5*Assumptions!$B$32)</f>
        <v>0.7021539743938554</v>
      </c>
      <c r="G14" s="21">
        <f>1/(1+Assumptions!$B$26)^(6-0.5*Assumptions!$B$32)</f>
        <v>0.6490919392077172</v>
      </c>
      <c r="H14" s="21">
        <f>1/(1+Assumptions!$B$26)^(7-0.5*Assumptions!$B$32)</f>
        <v>0.6000398216191053</v>
      </c>
      <c r="I14" s="21">
        <f>1/(1+Assumptions!$B$26)^(8-0.5*Assumptions!$B$32)</f>
        <v>0.5546945906741081</v>
      </c>
      <c r="J14" s="21">
        <f>1/(1+Assumptions!$B$26)^(9-0.5*Assumptions!$B$32)</f>
        <v>0.5127761155799256</v>
      </c>
      <c r="K14" s="21">
        <f>1/(1+Assumptions!$B$26)^(10-0.5*Assumptions!$B$32)</f>
        <v>0.47402543513123657</v>
      </c>
    </row>
    <row r="15" spans="1:11" x14ac:dyDescent="0.25">
      <c r="A15" s="19" t="s">
        <v>58</v>
      </c>
      <c r="B15" s="20">
        <f>B13*B14</f>
        <v>204554832.87585256</v>
      </c>
      <c r="C15" s="20">
        <f>C13*C14</f>
        <v>351273947.2474879</v>
      </c>
      <c r="D15" s="20">
        <f>D13*D14</f>
        <v>448138369.8557059</v>
      </c>
      <c r="E15" s="20">
        <f>E13*E14</f>
        <v>540981918.9259547</v>
      </c>
      <c r="F15" s="20">
        <f>F13*F14</f>
        <v>627708566.5529747</v>
      </c>
      <c r="G15" s="20">
        <f>G13*G14</f>
        <v>706384842.9115642</v>
      </c>
      <c r="H15" s="20">
        <f>H13*H14</f>
        <v>775312640.8136265</v>
      </c>
      <c r="I15" s="20">
        <f>I13*I14</f>
        <v>833091921.0497757</v>
      </c>
      <c r="J15" s="20">
        <f>J13*J14</f>
        <v>878670008.2639853</v>
      </c>
      <c r="K15" s="20">
        <f>K13*K14</f>
        <v>911374952.3413764</v>
      </c>
    </row>
    <row r="17" spans="1:2" x14ac:dyDescent="0.25">
      <c r="A17" s="22" t="s">
        <v>59</v>
      </c>
      <c r="B17" s="23">
        <f>SUM(B15:K15)</f>
        <v>6277492000.8383045</v>
      </c>
    </row>
    <row r="19" spans="1:11" x14ac:dyDescent="0.25">
      <c r="A19" t="s">
        <v>7</v>
      </c>
      <c r="B19" s="9">
        <f>Assumptions!$B$10+($B$20-Assumptions!$B$10)*0/9</f>
        <v>0.2650271708958629</v>
      </c>
      <c r="C19" s="9">
        <f>Assumptions!$B$10+($B$20-Assumptions!$B$10)*1/9</f>
        <v>0.25337935743587314</v>
      </c>
      <c r="D19" s="9">
        <f>Assumptions!$B$10+($B$20-Assumptions!$B$10)*2/9</f>
        <v>0.24173154397588337</v>
      </c>
      <c r="E19" s="9">
        <f>Assumptions!$B$10+($B$20-Assumptions!$B$10)*3/9</f>
        <v>0.23008373051589362</v>
      </c>
      <c r="F19" s="9">
        <f>Assumptions!$B$10+($B$20-Assumptions!$B$10)*4/9</f>
        <v>0.21843591705590384</v>
      </c>
      <c r="G19" s="9">
        <f>Assumptions!$B$10+($B$20-Assumptions!$B$10)*5/9</f>
        <v>0.20678810359591407</v>
      </c>
      <c r="H19" s="9">
        <f>Assumptions!$B$10+($B$20-Assumptions!$B$10)*6/9</f>
        <v>0.19514029013592432</v>
      </c>
      <c r="I19" s="9">
        <f>Assumptions!$B$10+($B$20-Assumptions!$B$10)*7/9</f>
        <v>0.18349247667593455</v>
      </c>
      <c r="J19" s="9">
        <f>Assumptions!$B$10+($B$20-Assumptions!$B$10)*8/9</f>
        <v>0.17184466321594477</v>
      </c>
      <c r="K19" s="9">
        <f>Assumptions!$B$10+($B$20-Assumptions!$B$10)*9/9</f>
        <v>0.160196849755955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0.160196849755955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1922628797.5223465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2628008146.873304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0.3058174912301913</v>
      </c>
    </row>
    <row r="7" spans="1:2" x14ac:dyDescent="0.25">
      <c r="A7" t="s">
        <v>66</v>
      </c>
      <c r="B7" s="18">
        <f>-MAX(B5,0)*B6</f>
        <v>-803690858.409298</v>
      </c>
    </row>
    <row r="8" spans="1:2" x14ac:dyDescent="0.25">
      <c r="A8" t="s">
        <v>67</v>
      </c>
      <c r="B8" s="18">
        <f>IF(OR(Assumptions!$B$33=0,Assumptions!B12&lt;=0),B5,MAX(B5+B7,0))</f>
        <v>1824317288.464006</v>
      </c>
    </row>
    <row r="9" spans="1:2" x14ac:dyDescent="0.25">
      <c r="A9" t="s">
        <v>68</v>
      </c>
      <c r="B9" s="18">
        <f>B8*(1+Assumptions!B12)/(Assumptions!B26-Assumptions!B12)</f>
        <v>32951325194.78121</v>
      </c>
    </row>
    <row r="10" spans="1:2" x14ac:dyDescent="0.25">
      <c r="A10" t="s">
        <v>69</v>
      </c>
      <c r="B10" s="18">
        <f>B9/(1+Assumptions!B26)^(10-0.5*Assumptions!B32)</f>
        <v>15619766263.607042</v>
      </c>
    </row>
    <row r="11" spans="1:2" x14ac:dyDescent="0.25">
      <c r="A11" t="s">
        <v>70</v>
      </c>
      <c r="B11" s="18">
        <f>Forecast!B17+B10</f>
        <v>21897258264.445347</v>
      </c>
    </row>
    <row r="12" spans="1:2" x14ac:dyDescent="0.25">
      <c r="A12" t="s">
        <v>71</v>
      </c>
      <c r="B12" s="18">
        <f>-Assumptions!B30</f>
        <v>-18893001000</v>
      </c>
    </row>
    <row r="13" spans="1:2" x14ac:dyDescent="0.25">
      <c r="A13" t="s">
        <v>72</v>
      </c>
      <c r="B13" s="18">
        <f>B11+B12</f>
        <v>3004257264.445347</v>
      </c>
    </row>
    <row r="14" spans="1:2" x14ac:dyDescent="0.25">
      <c r="A14" s="19" t="s">
        <v>73</v>
      </c>
      <c r="B14" s="24">
        <f>B13/Assumptions!B31</f>
        <v>10.087628819288913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4644344069.157832</v>
      </c>
    </row>
    <row r="18" spans="1:2" x14ac:dyDescent="0.25">
      <c r="A18" t="s">
        <v>68</v>
      </c>
      <c r="B18" s="18">
        <f>B17*Assumptions!B13</f>
        <v>92886881383.15665</v>
      </c>
    </row>
    <row r="19" spans="1:2" x14ac:dyDescent="0.25">
      <c r="A19" t="s">
        <v>69</v>
      </c>
      <c r="B19" s="18">
        <f>B18/(1+Assumptions!B26)^(10-0.5*Assumptions!B32)</f>
        <v>44030744365.634384</v>
      </c>
    </row>
    <row r="20" spans="1:2" x14ac:dyDescent="0.25">
      <c r="A20" t="s">
        <v>70</v>
      </c>
      <c r="B20" s="18">
        <f>Forecast!B17+B19</f>
        <v>50308236366.47269</v>
      </c>
    </row>
    <row r="21" spans="1:2" x14ac:dyDescent="0.25">
      <c r="A21" t="s">
        <v>71</v>
      </c>
      <c r="B21" s="18">
        <f>-Assumptions!B30</f>
        <v>-18893001000</v>
      </c>
    </row>
    <row r="22" spans="1:2" x14ac:dyDescent="0.25">
      <c r="A22" t="s">
        <v>72</v>
      </c>
      <c r="B22" s="18">
        <f>B20+B21</f>
        <v>31415235366.472687</v>
      </c>
    </row>
    <row r="23" spans="1:2" x14ac:dyDescent="0.25">
      <c r="A23" s="19" t="s">
        <v>73</v>
      </c>
      <c r="B23" s="25">
        <f>B22/Assumptions!B31</f>
        <v>105.4853848230877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115.18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10.087628819288913</v>
      </c>
    </row>
    <row r="29" spans="1:2" x14ac:dyDescent="0.25">
      <c r="A29" s="19" t="s">
        <v>81</v>
      </c>
      <c r="B29" s="11">
        <f>B28/B26-1</f>
        <v>-0.9124185725013986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0.061748</v>
      </c>
      <c r="B5" s="31">
        <v>48.73650809958683</v>
      </c>
      <c r="C5" s="31">
        <v>49.243940104924555</v>
      </c>
      <c r="D5" s="31">
        <v>50.29331902323331</v>
      </c>
      <c r="E5" s="31">
        <v>52.140698895541455</v>
      </c>
      <c r="F5" s="31">
        <v>55.233590351054524</v>
      </c>
    </row>
    <row r="6" spans="1:6" x14ac:dyDescent="0.25">
      <c r="A6" s="30">
        <v>0.071748</v>
      </c>
      <c r="B6" s="31">
        <v>26.081824355424683</v>
      </c>
      <c r="C6" s="31">
        <v>24.750318910612357</v>
      </c>
      <c r="D6" s="31">
        <v>23.433774080571144</v>
      </c>
      <c r="E6" s="31">
        <v>22.137565193977032</v>
      </c>
      <c r="F6" s="31">
        <v>20.86999308765668</v>
      </c>
    </row>
    <row r="7" spans="1:6" x14ac:dyDescent="0.25">
      <c r="A7" s="30">
        <v>0.081748</v>
      </c>
      <c r="B7" s="31">
        <v>12.432423554536571</v>
      </c>
      <c r="C7" s="31">
        <v>11.260084909306707</v>
      </c>
      <c r="D7" s="32">
        <v>10.087746264076804</v>
      </c>
      <c r="E7" s="31">
        <v>8.915407618846928</v>
      </c>
      <c r="F7" s="31">
        <v>7.743068973617037</v>
      </c>
    </row>
    <row r="8" spans="1:6" x14ac:dyDescent="0.25">
      <c r="A8" s="30">
        <v>0.091748</v>
      </c>
      <c r="B8" s="31">
        <v>2.03835265729675</v>
      </c>
      <c r="C8" s="31">
        <v>1.0502746516774226</v>
      </c>
      <c r="D8" s="31">
        <v>0.0621966460580698</v>
      </c>
      <c r="E8" s="31">
        <v>-0.9258813595612575</v>
      </c>
      <c r="F8" s="31">
        <v>-1.9139593651805975</v>
      </c>
    </row>
    <row r="9" spans="1:6" x14ac:dyDescent="0.25">
      <c r="A9" s="30">
        <v>0.101748</v>
      </c>
      <c r="B9" s="31">
        <v>-6.200656334303585</v>
      </c>
      <c r="C9" s="31">
        <v>-7.044154374506515</v>
      </c>
      <c r="D9" s="31">
        <v>-7.887652414709471</v>
      </c>
      <c r="E9" s="31">
        <v>-8.731150454912402</v>
      </c>
      <c r="F9" s="31">
        <v>-9.574648495115344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6901737000</v>
      </c>
      <c r="C5" s="18">
        <v>6149909000</v>
      </c>
      <c r="D5" s="18">
        <v>5480289000</v>
      </c>
      <c r="E5" s="18">
        <v>5103574000</v>
      </c>
      <c r="F5" s="6" t="s">
        <v>91</v>
      </c>
    </row>
    <row r="6" spans="1:6" x14ac:dyDescent="0.25">
      <c r="A6" t="s">
        <v>51</v>
      </c>
      <c r="B6" s="18">
        <v>1403920000</v>
      </c>
      <c r="C6" s="18">
        <v>1212916000</v>
      </c>
      <c r="D6" s="18">
        <v>1110043000</v>
      </c>
      <c r="E6" s="18">
        <v>1046282000</v>
      </c>
      <c r="F6" s="6" t="s">
        <v>92</v>
      </c>
    </row>
    <row r="7" spans="1:6" x14ac:dyDescent="0.25">
      <c r="A7" t="s">
        <v>93</v>
      </c>
      <c r="B7" s="18">
        <v>1057204000</v>
      </c>
      <c r="C7" s="18">
        <v>926485000</v>
      </c>
      <c r="D7" s="18">
        <v>793018000</v>
      </c>
      <c r="E7" s="18">
        <v>745639000</v>
      </c>
      <c r="F7" s="6" t="s">
        <v>94</v>
      </c>
    </row>
    <row r="8" spans="1:6" x14ac:dyDescent="0.25">
      <c r="A8" t="s">
        <v>95</v>
      </c>
      <c r="B8" s="18">
        <v>2347115000</v>
      </c>
      <c r="C8" s="18">
        <v>1853950000</v>
      </c>
      <c r="D8" s="18">
        <v>1345097000</v>
      </c>
      <c r="E8" s="18">
        <v>883583000</v>
      </c>
      <c r="F8" s="6" t="s">
        <v>96</v>
      </c>
    </row>
    <row r="9" spans="1:6" x14ac:dyDescent="0.25">
      <c r="A9" t="s">
        <v>97</v>
      </c>
      <c r="B9" s="18">
        <v>60547000</v>
      </c>
      <c r="C9" s="18">
        <v>72398000</v>
      </c>
      <c r="D9" s="18">
        <v>40594000</v>
      </c>
      <c r="E9" s="18">
        <v>252436000</v>
      </c>
      <c r="F9" s="6" t="s">
        <v>98</v>
      </c>
    </row>
    <row r="10" spans="1:6" x14ac:dyDescent="0.25">
      <c r="A10" t="s">
        <v>99</v>
      </c>
      <c r="B10" s="18">
        <v>19051536000</v>
      </c>
      <c r="C10" s="18">
        <v>16369312000</v>
      </c>
      <c r="D10" s="18">
        <v>14787359000</v>
      </c>
      <c r="E10" s="18">
        <v>13286900000</v>
      </c>
      <c r="F10" s="6" t="s">
        <v>100</v>
      </c>
    </row>
    <row r="11" spans="1:6" x14ac:dyDescent="0.25">
      <c r="A11" t="s">
        <v>101</v>
      </c>
      <c r="B11" s="18">
        <v>158535000</v>
      </c>
      <c r="C11" s="18">
        <v>155716000</v>
      </c>
      <c r="D11" s="18">
        <v>222789000</v>
      </c>
      <c r="E11" s="18">
        <v>141797000</v>
      </c>
      <c r="F11" s="6" t="s">
        <v>102</v>
      </c>
    </row>
    <row r="12" spans="1:6" x14ac:dyDescent="0.25">
      <c r="A12" t="s">
        <v>34</v>
      </c>
      <c r="B12" s="34">
        <v>297816000</v>
      </c>
      <c r="C12" s="34">
        <v>296234000</v>
      </c>
      <c r="D12" s="34">
        <v>293965000</v>
      </c>
      <c r="E12" s="34">
        <v>292444177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