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<sst xmlns="http://schemas.openxmlformats.org/spreadsheetml/2006/main" count="113" uniqueCount="101">
  <si>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Intesa Sanpaolo S.p.A. (ISP.MI)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</si>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</sst>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0.09777253788359408</v>
      </c>
    </row>
    <row r="7" spans="1:2" x14ac:dyDescent="0.25">
      <c r="A7" t="s">
        <v>5</v>
      </c>
      <c r="B7" s="6">
        <v>0.39581779596068883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0.06643042149179906</v>
      </c>
    </row>
    <row r="10" spans="1:2" x14ac:dyDescent="0.25">
      <c r="A10" t="s">
        <v>8</v>
      </c>
      <c r="B10" s="6">
        <v>0.06723248405414009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14.47084167923216</v>
      </c>
    </row>
    <row r="14" spans="1:3" x14ac:dyDescent="0.25">
      <c r="A14" t="s">
        <v>12</v>
      </c>
      <c r="B14" s="6">
        <v>0.07542968679192498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0.8954799999999999</v>
      </c>
      <c r="C19" s="8" t="s">
        <v>19</v>
      </c>
    </row>
    <row r="20" spans="1:2" x14ac:dyDescent="0.25">
      <c r="A20" t="s">
        <v>20</v>
      </c>
      <c r="B20" s="10">
        <f>B17+B19*B18</f>
        <v>0.1002062</v>
      </c>
    </row>
    <row r="21" spans="1:3" x14ac:dyDescent="0.25">
      <c r="A21" t="s">
        <v>21</v>
      </c>
      <c r="B21" s="6">
        <v>0.07309335003025734</v>
      </c>
      <c r="C21" s="8" t="s">
        <v>22</v>
      </c>
    </row>
    <row r="22" spans="1:2" x14ac:dyDescent="0.25">
      <c r="A22" t="s">
        <v>23</v>
      </c>
      <c r="B22" s="11">
        <v>115883761664</v>
      </c>
    </row>
    <row r="23" spans="1:2" x14ac:dyDescent="0.25">
      <c r="A23" t="s">
        <v>24</v>
      </c>
      <c r="B23" s="11">
        <v>139313000000</v>
      </c>
    </row>
    <row r="24" spans="1:2" x14ac:dyDescent="0.25">
      <c r="A24" t="s">
        <v>25</v>
      </c>
      <c r="B24" s="10">
        <f>B22/(B22+B23)</f>
        <v>0.45409573737685655</v>
      </c>
    </row>
    <row r="25" spans="1:2" x14ac:dyDescent="0.25">
      <c r="A25" t="s">
        <v>26</v>
      </c>
      <c r="B25" s="10">
        <f>1-B24</f>
        <v>0.5459042626231434</v>
      </c>
    </row>
    <row r="26" spans="1:2" x14ac:dyDescent="0.25">
      <c r="A26" t="s">
        <v>27</v>
      </c>
      <c r="B26" s="12">
        <f>B24*B20+B25*B21*(1-B8)</f>
        <v>0.07542968679192498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28529000000</v>
      </c>
      <c r="C29" s="8" t="s">
        <v>30</v>
      </c>
    </row>
    <row r="30" spans="1:2" x14ac:dyDescent="0.25">
      <c r="A30" t="s">
        <v>31</v>
      </c>
      <c r="B30" s="11">
        <v>92178000000</v>
      </c>
    </row>
    <row r="31" spans="1:2" x14ac:dyDescent="0.25">
      <c r="A31" t="s">
        <v>32</v>
      </c>
      <c r="B31" s="13">
        <v>17387732025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0.09777253788359408</v>
      </c>
      <c r="C5" s="10">
        <f>Assumptions!B6</f>
        <v>0.09777253788359408</v>
      </c>
      <c r="D5" s="10">
        <f>Assumptions!B6</f>
        <v>0.09777253788359408</v>
      </c>
      <c r="E5" s="10">
        <f>Assumptions!B6</f>
        <v>0.09777253788359408</v>
      </c>
      <c r="F5" s="10">
        <f>Assumptions!B6</f>
        <v>0.09777253788359408</v>
      </c>
    </row>
    <row r="6" spans="1:6" x14ac:dyDescent="0.25">
      <c r="A6" t="s">
        <v>43</v>
      </c>
      <c r="B6" s="18">
        <f>Assumptions!B29*(1+B5)</f>
        <v>31318352733.281055</v>
      </c>
      <c r="C6" s="18">
        <f>B6*(1+C5)</f>
        <v>34380427562.34754</v>
      </c>
      <c r="D6" s="18">
        <f>C6*(1+D5)</f>
        <v>37741889218.64133</v>
      </c>
      <c r="E6" s="18">
        <f>D6*(1+E5)</f>
        <v>41432009512.06934</v>
      </c>
      <c r="F6" s="18">
        <f>E6*(1+F5)</f>
        <v>45482922231.68157</v>
      </c>
    </row>
    <row r="7" spans="1:6" x14ac:dyDescent="0.25">
      <c r="A7" t="s">
        <v>5</v>
      </c>
      <c r="B7" s="10">
        <f>Assumptions!B7</f>
        <v>0.39581779596068883</v>
      </c>
      <c r="C7" s="10">
        <f>Assumptions!B7</f>
        <v>0.39581779596068883</v>
      </c>
      <c r="D7" s="10">
        <f>Assumptions!B7</f>
        <v>0.39581779596068883</v>
      </c>
      <c r="E7" s="10">
        <f>Assumptions!B7</f>
        <v>0.39581779596068883</v>
      </c>
      <c r="F7" s="10">
        <f>Assumptions!B7</f>
        <v>0.39581779596068883</v>
      </c>
    </row>
    <row r="8" spans="1:6" x14ac:dyDescent="0.25">
      <c r="A8" t="s">
        <v>44</v>
      </c>
      <c r="B8" s="18">
        <f>B6*B7</f>
        <v>12396361352.006721</v>
      </c>
      <c r="C8" s="18">
        <f>C6*C7</f>
        <v>13608385061.914522</v>
      </c>
      <c r="D8" s="18">
        <f>D6*D7</f>
        <v>14938911405.915094</v>
      </c>
      <c r="E8" s="18">
        <f>E6*E7</f>
        <v>16399526687.289583</v>
      </c>
      <c r="F8" s="18">
        <f>F6*F7</f>
        <v>18002950031.595615</v>
      </c>
    </row>
    <row r="9" spans="1:6" x14ac:dyDescent="0.25">
      <c r="A9" t="s">
        <v>45</v>
      </c>
      <c r="B9" s="18">
        <f>B8*(1-Assumptions!B8)</f>
        <v>9297271014.005041</v>
      </c>
      <c r="C9" s="18">
        <f>C8*(1-Assumptions!B8)</f>
        <v>10206288796.435892</v>
      </c>
      <c r="D9" s="18">
        <f>D8*(1-Assumptions!B8)</f>
        <v>11204183554.436321</v>
      </c>
      <c r="E9" s="18">
        <f>E8*(1-Assumptions!B8)</f>
        <v>12299645015.467188</v>
      </c>
      <c r="F9" s="18">
        <f>F8*(1-Assumptions!B8)</f>
        <v>13502212523.696712</v>
      </c>
    </row>
    <row r="10" spans="1:6" x14ac:dyDescent="0.25">
      <c r="A10" t="s">
        <v>46</v>
      </c>
      <c r="B10" s="18">
        <f>B6*Assumptions!B9</f>
        <v>2080491372.5006979</v>
      </c>
      <c r="C10" s="18">
        <f>C6*Assumptions!B9</f>
        <v>2283906294.035013</v>
      </c>
      <c r="D10" s="18">
        <f>D6*Assumptions!B9</f>
        <v>2507209608.69113</v>
      </c>
      <c r="E10" s="18">
        <f>E6*Assumptions!B9</f>
        <v>2752345855.1389947</v>
      </c>
      <c r="F10" s="18">
        <f>F6*Assumptions!B9</f>
        <v>3021449694.529325</v>
      </c>
    </row>
    <row r="11" spans="1:6" x14ac:dyDescent="0.25">
      <c r="A11" t="s">
        <v>47</v>
      </c>
      <c r="B11" s="18">
        <f>-B6*Assumptions!B10</f>
        <v>-2105610650.7422533</v>
      </c>
      <c r="C11" s="18">
        <f>-C6*Assumptions!B10</f>
        <v>-2311481547.8600497</v>
      </c>
      <c r="D11" s="18">
        <f>-D6*Assumptions!B10</f>
        <v>-2537480965.065425</v>
      </c>
      <c r="E11" s="18">
        <f>-E6*Assumptions!B10</f>
        <v>-2785576918.8511825</v>
      </c>
      <c r="F11" s="18">
        <f>-F6*Assumptions!B10</f>
        <v>-3057929843.677225</v>
      </c>
    </row>
    <row r="12" spans="1:6" x14ac:dyDescent="0.25">
      <c r="A12" t="s">
        <v>48</v>
      </c>
      <c r="B12" s="18">
        <f>-(B6-Assumptions!B29)*Assumptions!B11</f>
        <v>-2789352733.2810555</v>
      </c>
      <c r="C12" s="18">
        <f>-(C6-B6)*Assumptions!B11</f>
        <v>-3062074829.0664864</v>
      </c>
      <c r="D12" s="18">
        <f>-(D6-C6)*Assumptions!B11</f>
        <v>-3361461656.293785</v>
      </c>
      <c r="E12" s="18">
        <f>-(E6-D6)*Assumptions!B11</f>
        <v>-3690120293.4280167</v>
      </c>
      <c r="F12" s="18">
        <f>-(F6-E6)*Assumptions!B11</f>
        <v>-4050912719.6122284</v>
      </c>
    </row>
    <row r="13" spans="1:6" x14ac:dyDescent="0.25">
      <c r="A13" s="19" t="s">
        <v>49</v>
      </c>
      <c r="B13" s="20">
        <f>B9+B10+B11+B12</f>
        <v>6482799002.4824295</v>
      </c>
      <c r="C13" s="20">
        <f>C9+C10+C11+C12</f>
        <v>7116638713.544369</v>
      </c>
      <c r="D13" s="20">
        <f>D9+D10+D11+D12</f>
        <v>7812450541.768242</v>
      </c>
      <c r="E13" s="20">
        <f>E9+E10+E11+E12</f>
        <v>8576293658.3269825</v>
      </c>
      <c r="F13" s="20">
        <f>F9+F10+F11+F12</f>
        <v>9414819654.936584</v>
      </c>
    </row>
    <row r="14" spans="1:6" x14ac:dyDescent="0.25">
      <c r="A14" t="s">
        <v>50</v>
      </c>
      <c r="B14" s="21">
        <f>1/(1+Assumptions!$B$26)^(1-0.5*Assumptions!$B$32)</f>
        <v>0.9642929454820897</v>
      </c>
      <c r="C14" s="21">
        <f>1/(1+Assumptions!$B$26)^(2-0.5*Assumptions!$B$32)</f>
        <v>0.8966582914022363</v>
      </c>
      <c r="D14" s="21">
        <f>1/(1+Assumptions!$B$26)^(3-0.5*Assumptions!$B$32)</f>
        <v>0.8337674721227242</v>
      </c>
      <c r="E14" s="21">
        <f>1/(1+Assumptions!$B$26)^(4-0.5*Assumptions!$B$32)</f>
        <v>0.7752877592675588</v>
      </c>
      <c r="F14" s="21">
        <f>1/(1+Assumptions!$B$26)^(5-0.5*Assumptions!$B$32)</f>
        <v>0.7209097617346713</v>
      </c>
    </row>
    <row r="15" spans="1:6" x14ac:dyDescent="0.25">
      <c r="A15" s="19" t="s">
        <v>51</v>
      </c>
      <c r="B15" s="20">
        <f>B13*B14</f>
        <v>6251317345.072135</v>
      </c>
      <c r="C15" s="20">
        <f>C13*C14</f>
        <v>6381193109.413703</v>
      </c>
      <c r="D15" s="20">
        <f>D13*D14</f>
        <v>6513767139.293914</v>
      </c>
      <c r="E15" s="20">
        <f>E13*E14</f>
        <v>6649095493.1849</v>
      </c>
      <c r="F15" s="20">
        <f>F13*F14</f>
        <v>6787235394.215233</v>
      </c>
    </row>
    <row r="17" spans="1:2" x14ac:dyDescent="0.25">
      <c r="A17" s="22" t="s">
        <v>52</v>
      </c>
      <c r="B17" s="23">
        <f>SUM(B15:F15)</f>
        <v>32582608481.179886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9414819654.936584</v>
      </c>
    </row>
    <row r="5" spans="1:2" x14ac:dyDescent="0.25">
      <c r="A5" t="s">
        <v>56</v>
      </c>
      <c r="B5" s="18">
        <f>IF(Assumptions!$B$33=0,B4,B4-Forecast!F11-Forecast!F10-Forecast!F12)</f>
        <v>14507208977.54219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0.33143449301285366</v>
      </c>
    </row>
    <row r="7" spans="1:2" x14ac:dyDescent="0.25">
      <c r="A7" t="s">
        <v>58</v>
      </c>
      <c r="B7" s="18">
        <f>-MAX(Forecast!F9,0)*B6</f>
        <v>-4808189452.503215</v>
      </c>
    </row>
    <row r="8" spans="1:2" x14ac:dyDescent="0.25">
      <c r="A8" t="s">
        <v>59</v>
      </c>
      <c r="B8" s="18">
        <f>IF(OR(Assumptions!$B$33=0,Assumptions!B12&lt;=0),B5,MAX(B5+B7,0))</f>
        <v>9699019525.038975</v>
      </c>
    </row>
    <row r="9" spans="1:2" x14ac:dyDescent="0.25">
      <c r="A9" t="s">
        <v>60</v>
      </c>
      <c r="B9" s="18">
        <f>B8*(1+Assumptions!B12)/(Assumptions!B26-Assumptions!B12)</f>
        <v>197135767552.63177</v>
      </c>
    </row>
    <row r="10" spans="1:2" x14ac:dyDescent="0.25">
      <c r="A10" t="s">
        <v>61</v>
      </c>
      <c r="B10" s="18">
        <f>B9/(1+Assumptions!B26)^(5-0.5*Assumptions!B32)</f>
        <v>142117099215.7493</v>
      </c>
    </row>
    <row r="11" spans="1:2" x14ac:dyDescent="0.25">
      <c r="A11" t="s">
        <v>62</v>
      </c>
      <c r="B11" s="18">
        <f>Forecast!B17+B10</f>
        <v>174699707696.9292</v>
      </c>
    </row>
    <row r="12" spans="1:2" x14ac:dyDescent="0.25">
      <c r="A12" t="s">
        <v>63</v>
      </c>
      <c r="B12" s="18">
        <f>-Assumptions!B30</f>
        <v>-92178000000</v>
      </c>
    </row>
    <row r="13" spans="1:2" x14ac:dyDescent="0.25">
      <c r="A13" t="s">
        <v>64</v>
      </c>
      <c r="B13" s="18">
        <f>B11+B12</f>
        <v>82521707696.9292</v>
      </c>
    </row>
    <row r="14" spans="1:2" x14ac:dyDescent="0.25">
      <c r="A14" s="19" t="s">
        <v>65</v>
      </c>
      <c r="B14" s="24">
        <f>B13/Assumptions!B31</f>
        <v>4.745973056076541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21024399726.12494</v>
      </c>
    </row>
    <row r="18" spans="1:2" x14ac:dyDescent="0.25">
      <c r="A18" t="s">
        <v>60</v>
      </c>
      <c r="B18" s="18">
        <f>B17*Assumptions!B13</f>
        <v>304240759837.646</v>
      </c>
    </row>
    <row r="19" spans="1:2" x14ac:dyDescent="0.25">
      <c r="A19" t="s">
        <v>61</v>
      </c>
      <c r="B19" s="18">
        <f>B18/(1+Assumptions!B26)^(5-0.5*Assumptions!B32)</f>
        <v>219330133684.5327</v>
      </c>
    </row>
    <row r="20" spans="1:2" x14ac:dyDescent="0.25">
      <c r="A20" t="s">
        <v>62</v>
      </c>
      <c r="B20" s="18">
        <f>Forecast!B17+B19</f>
        <v>251912742165.7126</v>
      </c>
    </row>
    <row r="21" spans="1:2" x14ac:dyDescent="0.25">
      <c r="A21" t="s">
        <v>63</v>
      </c>
      <c r="B21" s="18">
        <f>-Assumptions!B30</f>
        <v>-92178000000</v>
      </c>
    </row>
    <row r="22" spans="1:2" x14ac:dyDescent="0.25">
      <c r="A22" t="s">
        <v>64</v>
      </c>
      <c r="B22" s="18">
        <f>B20+B21</f>
        <v>159734742165.7126</v>
      </c>
    </row>
    <row r="23" spans="1:2" x14ac:dyDescent="0.25">
      <c r="A23" s="19" t="s">
        <v>65</v>
      </c>
      <c r="B23" s="25">
        <f>B22/Assumptions!B31</f>
        <v>9.186634687953939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6.668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4.745973056076541</v>
      </c>
    </row>
    <row r="29" spans="1:2" x14ac:dyDescent="0.25">
      <c r="A29" s="19" t="s">
        <v>73</v>
      </c>
      <c r="B29" s="12">
        <f>B28/B26-1</f>
        <v>-0.2882463923100569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0.05543</v>
      </c>
      <c r="B5" s="31">
        <v>8.649575390991597</v>
      </c>
      <c r="C5" s="31">
        <v>8.708613657732322</v>
      </c>
      <c r="D5" s="31">
        <v>8.767651924473045</v>
      </c>
      <c r="E5" s="31">
        <v>8.826690191213764</v>
      </c>
      <c r="F5" s="31">
        <v>8.885728457954487</v>
      </c>
    </row>
    <row r="6" spans="1:6" x14ac:dyDescent="0.25">
      <c r="A6" s="30">
        <v>0.06543</v>
      </c>
      <c r="B6" s="31">
        <v>6.348977770180256</v>
      </c>
      <c r="C6" s="31">
        <v>6.39691488225681</v>
      </c>
      <c r="D6" s="31">
        <v>6.444851994333361</v>
      </c>
      <c r="E6" s="31">
        <v>6.492789106409912</v>
      </c>
      <c r="F6" s="31">
        <v>6.54072621848646</v>
      </c>
    </row>
    <row r="7" spans="1:6" x14ac:dyDescent="0.25">
      <c r="A7" s="30">
        <v>0.07543</v>
      </c>
      <c r="B7" s="31">
        <v>4.666186848758803</v>
      </c>
      <c r="C7" s="31">
        <v>4.706056933848615</v>
      </c>
      <c r="D7" s="32">
        <v>4.745927018938422</v>
      </c>
      <c r="E7" s="31">
        <v>4.7857971040282345</v>
      </c>
      <c r="F7" s="31">
        <v>4.825667189118042</v>
      </c>
    </row>
    <row r="8" spans="1:6" x14ac:dyDescent="0.25">
      <c r="A8" s="30">
        <v>0.08543</v>
      </c>
      <c r="B8" s="31">
        <v>3.383856164584645</v>
      </c>
      <c r="C8" s="31">
        <v>3.417623153339213</v>
      </c>
      <c r="D8" s="31">
        <v>3.4513901420937794</v>
      </c>
      <c r="E8" s="31">
        <v>3.4851571308483456</v>
      </c>
      <c r="F8" s="31">
        <v>3.51892411960291</v>
      </c>
    </row>
    <row r="9" spans="1:6" x14ac:dyDescent="0.25">
      <c r="A9" s="30">
        <v>0.09543</v>
      </c>
      <c r="B9" s="31">
        <v>2.3757644616058147</v>
      </c>
      <c r="C9" s="31">
        <v>2.4047709511139783</v>
      </c>
      <c r="D9" s="31">
        <v>2.4337774406221393</v>
      </c>
      <c r="E9" s="31">
        <v>2.4627839301302994</v>
      </c>
      <c r="F9" s="31">
        <v>2.4917904196384613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28529000000</v>
      </c>
      <c r="C5" s="18">
        <v>27686000000</v>
      </c>
      <c r="D5" s="18">
        <v>25416000000</v>
      </c>
      <c r="E5" s="18">
        <v>21565000000</v>
      </c>
      <c r="F5" s="8" t="s">
        <v>84</v>
      </c>
    </row>
    <row r="6" spans="1:6" x14ac:dyDescent="0.25">
      <c r="A6" t="s">
        <v>44</v>
      </c>
      <c r="B6" s="18">
        <v>12645000000</v>
      </c>
      <c r="C6" s="18">
        <v>12058000000</v>
      </c>
      <c r="D6" s="18">
        <v>10746000000</v>
      </c>
      <c r="E6" s="18">
        <v>6075000000</v>
      </c>
      <c r="F6" s="8" t="s">
        <v>85</v>
      </c>
    </row>
    <row r="7" spans="1:6" x14ac:dyDescent="0.25">
      <c r="A7" t="s">
        <v>86</v>
      </c>
      <c r="B7" s="18">
        <v>1733000000</v>
      </c>
      <c r="C7" s="18">
        <v>1708000000</v>
      </c>
      <c r="D7" s="18">
        <v>1657000000</v>
      </c>
      <c r="E7" s="18">
        <v>1684000000</v>
      </c>
      <c r="F7" s="8" t="s">
        <v>87</v>
      </c>
    </row>
    <row r="8" spans="1:6" x14ac:dyDescent="0.25">
      <c r="A8" t="s">
        <v>88</v>
      </c>
      <c r="B8" s="18">
        <v>1650000000</v>
      </c>
      <c r="C8" s="18">
        <v>1669000000</v>
      </c>
      <c r="D8" s="18">
        <v>1655000000</v>
      </c>
      <c r="E8" s="18">
        <v>1848000000</v>
      </c>
      <c r="F8" s="8" t="s">
        <v>89</v>
      </c>
    </row>
    <row r="9" spans="1:6" x14ac:dyDescent="0.25">
      <c r="A9" t="s">
        <v>90</v>
      </c>
      <c r="B9" s="18">
        <v>3591000000</v>
      </c>
      <c r="C9" s="18">
        <v>52663000000</v>
      </c>
      <c r="D9" s="18">
        <v>28077000000</v>
      </c>
      <c r="E9" s="18">
        <v>-91108000000</v>
      </c>
      <c r="F9" s="8" t="s">
        <v>91</v>
      </c>
    </row>
    <row r="10" spans="1:6" x14ac:dyDescent="0.25">
      <c r="A10" t="s">
        <v>92</v>
      </c>
      <c r="B10" s="18">
        <v>139313000000</v>
      </c>
      <c r="C10" s="18">
        <v>146568000000</v>
      </c>
      <c r="D10" s="18">
        <v>142127000000</v>
      </c>
      <c r="E10" s="18">
        <v>98447000000</v>
      </c>
      <c r="F10" s="8" t="s">
        <v>93</v>
      </c>
    </row>
    <row r="11" spans="1:6" x14ac:dyDescent="0.25">
      <c r="A11" t="s">
        <v>94</v>
      </c>
      <c r="B11" s="18">
        <v>47135000000</v>
      </c>
      <c r="C11" s="18">
        <v>50018000000</v>
      </c>
      <c r="D11" s="18">
        <v>98831000000</v>
      </c>
      <c r="E11" s="18">
        <v>122093000000</v>
      </c>
      <c r="F11" s="8" t="s">
        <v>95</v>
      </c>
    </row>
    <row r="12" spans="1:6" x14ac:dyDescent="0.25">
      <c r="A12" t="s">
        <v>32</v>
      </c>
      <c r="B12" s="34">
        <v>17387732025</v>
      </c>
      <c r="C12" s="34">
        <v>17778041443</v>
      </c>
      <c r="D12" s="34">
        <v>18370426095</v>
      </c>
      <c r="E12" s="34">
        <v>19315541610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2026-09-19T00:07:44Z</dcterms:modified>
</cp:coreProperties>
</file>