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<sst xmlns="http://schemas.openxmlformats.org/spreadsheetml/2006/main" count="113" uniqueCount="101">
  <si>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Intuitive Surgical, Inc. (ISRG)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</si>
  <si>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</si>
  <si>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</si>
  <si>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</si>
  <si>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</si>
  <si>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</si>
  <si>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</si>
  <si>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</si>
  <si>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</si>
  <si>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</si>
  <si>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</si>
  <si>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</si>
  <si>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</si>
  <si>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</si>
  <si>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</si>
  <si>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</si>
  <si>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</si>
  <si>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</si>
  <si>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</si>
  <si>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</si>
  <si>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</si>
  <si>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</si>
  <si>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</si>
  <si>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</si>
  <si>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</si>
  <si>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</si>
  <si>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</si>
  <si>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</si>
  <si>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</si>
  <si>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</si>
  <si>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</si>
  <si>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</si>
  <si>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</si>
  <si>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</si>
  <si>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</si>
  <si>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</si>
  <si>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</si>
  <si>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</si>
  <si>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</si>
  <si>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</si>
  <si>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</si>
  <si>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</si>
  <si>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</si>
  <si>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</si>
  <si>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</si>
  <si>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</si>
  <si>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</si>
  <si>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</si>
  <si>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</si>
  <si>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</si>
  <si>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</si>
  <si>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</si>
  <si>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</si>
  <si>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</si>
  <si>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</si>
  <si>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</si>
  <si>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</si>
  <si>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</si>
  <si>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</si>
  <si>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</si>
  <si>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</si>
  <si>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</si>
  <si>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</si>
  <si>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</si>
  <si>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</si>
  <si>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</si>
  <si>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</si>
  <si>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</si>
  <si>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</si>
  <si>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</si>
  <si>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</si>
  <si>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</si>
  <si>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</si>
  <si>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</si>
  <si>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</si>
  <si>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</si>
  <si>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</si>
  <si>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</si>
  <si>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</si>
  <si>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</si>
  <si>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</si>
  <si>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</si>
  <si>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</si>
  <si>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</si>
  <si>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</si>
  <si>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</si>
  <si>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</si>
  <si>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</si>
  <si>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</si>
  <si>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</si>
  <si>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</si>
  <si>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</si>
  <si>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</si>
  <si>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</si>
  <si>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</si>
  <si>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</si>
  <si>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</si>
  <si>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</si>
  <si>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Capital expenditure runs at 10.5% of revenue against depreciation of 6.2%. A perpetuity has to be a steady state, so the terminal year uses maintenance capex at depreciation and then charges the reinvestment terminal growth requires (g/ROIC of NOPAT). The bridge is shown under Terminal Value.</t>
  </si>
  <si>
    <t>Current EV/EBITDA of 37.3x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</si>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</sst>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0.17386716793068868</v>
      </c>
    </row>
    <row r="7" spans="1:2" x14ac:dyDescent="0.25">
      <c r="A7" t="s">
        <v>5</v>
      </c>
      <c r="B7" s="6">
        <v>0.2688394584224628</v>
      </c>
    </row>
    <row r="8" spans="1:2" x14ac:dyDescent="0.25">
      <c r="A8" t="s">
        <v>6</v>
      </c>
      <c r="B8" s="6">
        <v>0.1285400146291945</v>
      </c>
    </row>
    <row r="9" spans="1:2" x14ac:dyDescent="0.25">
      <c r="A9" t="s">
        <v>7</v>
      </c>
      <c r="B9" s="6">
        <v>0.06243328388905868</v>
      </c>
    </row>
    <row r="10" spans="1:2" x14ac:dyDescent="0.25">
      <c r="A10" t="s">
        <v>8</v>
      </c>
      <c r="B10" s="6">
        <v>0.10540556061762371</v>
      </c>
    </row>
    <row r="11" spans="1:2" x14ac:dyDescent="0.25">
      <c r="A11" t="s">
        <v>9</v>
      </c>
      <c r="B11" s="6">
        <v>0.7486156351791531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0.12451445629361678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1.31155</v>
      </c>
      <c r="C19" s="8" t="s">
        <v>19</v>
      </c>
    </row>
    <row r="20" spans="1:2" x14ac:dyDescent="0.25">
      <c r="A20" t="s">
        <v>20</v>
      </c>
      <c r="B20" s="10">
        <f>B17+B19*B18</f>
        <v>0.12211525000000001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140921503744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0.12211525000000001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10064700000</v>
      </c>
      <c r="C29" s="8" t="s">
        <v>30</v>
      </c>
    </row>
    <row r="30" spans="1:2" x14ac:dyDescent="0.25">
      <c r="A30" t="s">
        <v>31</v>
      </c>
      <c r="B30" s="11">
        <v>-5934900000</v>
      </c>
    </row>
    <row r="31" spans="1:2" x14ac:dyDescent="0.25">
      <c r="A31" t="s">
        <v>32</v>
      </c>
      <c r="B31" s="13">
        <v>362700000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0.17386716793068868</v>
      </c>
      <c r="C5" s="10">
        <f>Assumptions!B6</f>
        <v>0.17386716793068868</v>
      </c>
      <c r="D5" s="10">
        <f>Assumptions!B6</f>
        <v>0.17386716793068868</v>
      </c>
      <c r="E5" s="10">
        <f>Assumptions!B6</f>
        <v>0.17386716793068868</v>
      </c>
      <c r="F5" s="10">
        <f>Assumptions!B6</f>
        <v>0.17386716793068868</v>
      </c>
    </row>
    <row r="6" spans="1:6" x14ac:dyDescent="0.25">
      <c r="A6" t="s">
        <v>43</v>
      </c>
      <c r="B6" s="18">
        <f>Assumptions!B29*(1+B5)</f>
        <v>11814620885.072002</v>
      </c>
      <c r="C6" s="18">
        <f>B6*(1+C5)</f>
        <v>13868795558.534239</v>
      </c>
      <c r="D6" s="18">
        <f>C6*(1+D5)</f>
        <v>16280123764.906301</v>
      </c>
      <c r="E6" s="18">
        <f>D6*(1+E5)</f>
        <v>19110702777.47166</v>
      </c>
      <c r="F6" s="18">
        <f>E6*(1+F5)</f>
        <v>22433426546.555805</v>
      </c>
    </row>
    <row r="7" spans="1:6" x14ac:dyDescent="0.25">
      <c r="A7" t="s">
        <v>5</v>
      </c>
      <c r="B7" s="10">
        <f>Assumptions!B7</f>
        <v>0.2688394584224628</v>
      </c>
      <c r="C7" s="10">
        <f>Assumptions!B7</f>
        <v>0.2688394584224628</v>
      </c>
      <c r="D7" s="10">
        <f>Assumptions!B7</f>
        <v>0.2688394584224628</v>
      </c>
      <c r="E7" s="10">
        <f>Assumptions!B7</f>
        <v>0.2688394584224628</v>
      </c>
      <c r="F7" s="10">
        <f>Assumptions!B7</f>
        <v>0.2688394584224628</v>
      </c>
    </row>
    <row r="8" spans="1:6" x14ac:dyDescent="0.25">
      <c r="A8" t="s">
        <v>44</v>
      </c>
      <c r="B8" s="18">
        <f>B6*B7</f>
        <v>3176236280.2094755</v>
      </c>
      <c r="C8" s="18">
        <f>C6*C7</f>
        <v>3728479486.9282026</v>
      </c>
      <c r="D8" s="18">
        <f>D6*D7</f>
        <v>4376739656.008077</v>
      </c>
      <c r="E8" s="18">
        <f>E6*E7</f>
        <v>5137710984.768137</v>
      </c>
      <c r="F8" s="18">
        <f>F6*F7</f>
        <v>6030990243.336163</v>
      </c>
    </row>
    <row r="9" spans="1:6" x14ac:dyDescent="0.25">
      <c r="A9" t="s">
        <v>45</v>
      </c>
      <c r="B9" s="18">
        <f>B8*(1-Assumptions!B8)</f>
        <v>2767962822.285571</v>
      </c>
      <c r="C9" s="18">
        <f>C8*(1-Assumptions!B8)</f>
        <v>3249220679.1338</v>
      </c>
      <c r="D9" s="18">
        <f>D8*(1-Assumptions!B8)</f>
        <v>3814153476.596623</v>
      </c>
      <c r="E9" s="18">
        <f>E8*(1-Assumptions!B8)</f>
        <v>4477309539.625467</v>
      </c>
      <c r="F9" s="18">
        <f>F8*(1-Assumptions!B8)</f>
        <v>5255766669.229203</v>
      </c>
    </row>
    <row r="10" spans="1:6" x14ac:dyDescent="0.25">
      <c r="A10" t="s">
        <v>46</v>
      </c>
      <c r="B10" s="18">
        <f>B6*Assumptions!B9</f>
        <v>737625579.759302</v>
      </c>
      <c r="C10" s="18">
        <f>C6*Assumptions!B9</f>
        <v>865874450.3052843</v>
      </c>
      <c r="D10" s="18">
        <f>D6*Assumptions!B9</f>
        <v>1016421588.7634059</v>
      </c>
      <c r="E10" s="18">
        <f>E6*Assumptions!B9</f>
        <v>1193143931.8253105</v>
      </c>
      <c r="F10" s="18">
        <f>F6*Assumptions!B9</f>
        <v>1400592488.185464</v>
      </c>
    </row>
    <row r="11" spans="1:6" x14ac:dyDescent="0.25">
      <c r="A11" t="s">
        <v>47</v>
      </c>
      <c r="B11" s="18">
        <f>-B6*Assumptions!B10</f>
        <v>-1245326737.8757</v>
      </c>
      <c r="C11" s="18">
        <f>-C6*Assumptions!B10</f>
        <v>-1461848170.9385111</v>
      </c>
      <c r="D11" s="18">
        <f>-D6*Assumptions!B10</f>
        <v>-1716015572.3642476</v>
      </c>
      <c r="E11" s="18">
        <f>-E6*Assumptions!B10</f>
        <v>-2014374340.056179</v>
      </c>
      <c r="F11" s="18">
        <f>-F6*Assumptions!B10</f>
        <v>-2364607901.713997</v>
      </c>
    </row>
    <row r="12" spans="1:6" x14ac:dyDescent="0.25">
      <c r="A12" t="s">
        <v>48</v>
      </c>
      <c r="B12" s="18">
        <f>-(B6-Assumptions!B29)*Assumptions!B11</f>
        <v>-1310018134.8914428</v>
      </c>
      <c r="C12" s="18">
        <f>-(C6-B6)*Assumptions!B11</f>
        <v>-1537787277.9428616</v>
      </c>
      <c r="D12" s="18">
        <f>-(D6-C6)*Assumptions!B11</f>
        <v>-1805157996.8386297</v>
      </c>
      <c r="E12" s="18">
        <f>-(E6-D6)*Assumptions!B11</f>
        <v>-2119015705.4163961</v>
      </c>
      <c r="F12" s="18">
        <f>-(F6-E6)*Assumptions!B11</f>
        <v>-2487442964.9177966</v>
      </c>
    </row>
    <row r="13" spans="1:6" x14ac:dyDescent="0.25">
      <c r="A13" s="19" t="s">
        <v>49</v>
      </c>
      <c r="B13" s="20">
        <f>B9+B10+B11+B12</f>
        <v>950243529.2777305</v>
      </c>
      <c r="C13" s="20">
        <f>C9+C10+C11+C12</f>
        <v>1115459680.5577116</v>
      </c>
      <c r="D13" s="20">
        <f>D9+D10+D11+D12</f>
        <v>1309401496.1571522</v>
      </c>
      <c r="E13" s="20">
        <f>E9+E10+E11+E12</f>
        <v>1537063425.9782028</v>
      </c>
      <c r="F13" s="20">
        <f>F9+F10+F11+F12</f>
        <v>1804308290.7828736</v>
      </c>
    </row>
    <row r="14" spans="1:6" x14ac:dyDescent="0.25">
      <c r="A14" t="s">
        <v>50</v>
      </c>
      <c r="B14" s="21">
        <f>1/(1+Assumptions!$B$26)^(1-0.5*Assumptions!$B$32)</f>
        <v>0.944020157205478</v>
      </c>
      <c r="C14" s="21">
        <f>1/(1+Assumptions!$B$26)^(2-0.5*Assumptions!$B$32)</f>
        <v>0.8412862735850689</v>
      </c>
      <c r="D14" s="21">
        <f>1/(1+Assumptions!$B$26)^(3-0.5*Assumptions!$B$32)</f>
        <v>0.7497325017061027</v>
      </c>
      <c r="E14" s="21">
        <f>1/(1+Assumptions!$B$26)^(4-0.5*Assumptions!$B$32)</f>
        <v>0.6681421553678223</v>
      </c>
      <c r="F14" s="21">
        <f>1/(1+Assumptions!$B$26)^(5-0.5*Assumptions!$B$32)</f>
        <v>0.5954309553923469</v>
      </c>
    </row>
    <row r="15" spans="1:6" x14ac:dyDescent="0.25">
      <c r="A15" s="19" t="s">
        <v>51</v>
      </c>
      <c r="B15" s="20">
        <f>B13*B14</f>
        <v>897049045.8922514</v>
      </c>
      <c r="C15" s="20">
        <f>C13*C14</f>
        <v>938420917.9907886</v>
      </c>
      <c r="D15" s="20">
        <f>D13*D14</f>
        <v>981700859.4516156</v>
      </c>
      <c r="E15" s="20">
        <f>E13*E14</f>
        <v>1026976870.3701257</v>
      </c>
      <c r="F15" s="20">
        <f>F13*F14</f>
        <v>1074341009.403179</v>
      </c>
    </row>
    <row r="17" spans="1:2" x14ac:dyDescent="0.25">
      <c r="A17" s="22" t="s">
        <v>52</v>
      </c>
      <c r="B17" s="23">
        <f>SUM(B15:F15)</f>
        <v>4918488703.107961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1804308290.7828736</v>
      </c>
    </row>
    <row r="5" spans="1:2" x14ac:dyDescent="0.25">
      <c r="A5" t="s">
        <v>56</v>
      </c>
      <c r="B5" s="18">
        <f>IF(Assumptions!$B$33=0,B4,B4-Forecast!F11-Forecast!F10-Forecast!F12)</f>
        <v>5376236173.474108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0.20077989933191093</v>
      </c>
    </row>
    <row r="7" spans="1:2" x14ac:dyDescent="0.25">
      <c r="A7" t="s">
        <v>58</v>
      </c>
      <c r="B7" s="18">
        <f>-MAX(Forecast!F9,0)*B6</f>
        <v>-1079440157.6947093</v>
      </c>
    </row>
    <row r="8" spans="1:2" x14ac:dyDescent="0.25">
      <c r="A8" t="s">
        <v>59</v>
      </c>
      <c r="B8" s="18">
        <f>IF(OR(Assumptions!$B$33=0,Assumptions!B12&lt;=0),B5,MAX(B5+B7,0))</f>
        <v>4296796015.779398</v>
      </c>
    </row>
    <row r="9" spans="1:2" x14ac:dyDescent="0.25">
      <c r="A9" t="s">
        <v>60</v>
      </c>
      <c r="B9" s="18">
        <f>B8*(1+Assumptions!B12)/(Assumptions!B26-Assumptions!B12)</f>
        <v>45350404969.08448</v>
      </c>
    </row>
    <row r="10" spans="1:2" x14ac:dyDescent="0.25">
      <c r="A10" t="s">
        <v>61</v>
      </c>
      <c r="B10" s="18">
        <f>B9/(1+Assumptions!B26)^(5-0.5*Assumptions!B32)</f>
        <v>27003034958.17181</v>
      </c>
    </row>
    <row r="11" spans="1:2" x14ac:dyDescent="0.25">
      <c r="A11" t="s">
        <v>62</v>
      </c>
      <c r="B11" s="18">
        <f>Forecast!B17+B10</f>
        <v>31921523661.27977</v>
      </c>
    </row>
    <row r="12" spans="1:2" x14ac:dyDescent="0.25">
      <c r="A12" t="s">
        <v>63</v>
      </c>
      <c r="B12" s="18">
        <f>-Assumptions!B30</f>
        <v>5934900000</v>
      </c>
    </row>
    <row r="13" spans="1:2" x14ac:dyDescent="0.25">
      <c r="A13" t="s">
        <v>64</v>
      </c>
      <c r="B13" s="18">
        <f>B11+B12</f>
        <v>37856423661.27977</v>
      </c>
    </row>
    <row r="14" spans="1:2" x14ac:dyDescent="0.25">
      <c r="A14" s="19" t="s">
        <v>65</v>
      </c>
      <c r="B14" s="24">
        <f>B13/Assumptions!B31</f>
        <v>104.3739279329467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7431582731.521626</v>
      </c>
    </row>
    <row r="18" spans="1:2" x14ac:dyDescent="0.25">
      <c r="A18" t="s">
        <v>60</v>
      </c>
      <c r="B18" s="18">
        <f>B17*Assumptions!B13</f>
        <v>148631654630.43253</v>
      </c>
    </row>
    <row r="19" spans="1:2" x14ac:dyDescent="0.25">
      <c r="A19" t="s">
        <v>61</v>
      </c>
      <c r="B19" s="18">
        <f>B18/(1+Assumptions!B26)^(5-0.5*Assumptions!B32)</f>
        <v>88499888118.14378</v>
      </c>
    </row>
    <row r="20" spans="1:2" x14ac:dyDescent="0.25">
      <c r="A20" t="s">
        <v>62</v>
      </c>
      <c r="B20" s="18">
        <f>Forecast!B17+B19</f>
        <v>93418376821.25174</v>
      </c>
    </row>
    <row r="21" spans="1:2" x14ac:dyDescent="0.25">
      <c r="A21" t="s">
        <v>63</v>
      </c>
      <c r="B21" s="18">
        <f>-Assumptions!B30</f>
        <v>5934900000</v>
      </c>
    </row>
    <row r="22" spans="1:2" x14ac:dyDescent="0.25">
      <c r="A22" t="s">
        <v>64</v>
      </c>
      <c r="B22" s="18">
        <f>B20+B21</f>
        <v>99353276821.25174</v>
      </c>
    </row>
    <row r="23" spans="1:2" x14ac:dyDescent="0.25">
      <c r="A23" s="19" t="s">
        <v>65</v>
      </c>
      <c r="B23" s="25">
        <f>B22/Assumptions!B31</f>
        <v>273.92687295630475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393.33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104.3739279329467</v>
      </c>
    </row>
    <row r="29" spans="1:2" x14ac:dyDescent="0.25">
      <c r="A29" s="19" t="s">
        <v>73</v>
      </c>
      <c r="B29" s="12">
        <f>B28/B26-1</f>
        <v>-0.7346403072917227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0.102115</v>
      </c>
      <c r="B5" s="31">
        <v>128.64468750063472</v>
      </c>
      <c r="C5" s="31">
        <v>130.35517770348423</v>
      </c>
      <c r="D5" s="31">
        <v>132.2376447563896</v>
      </c>
      <c r="E5" s="31">
        <v>134.32786003494334</v>
      </c>
      <c r="F5" s="31">
        <v>136.67225464075779</v>
      </c>
    </row>
    <row r="6" spans="1:6" x14ac:dyDescent="0.25">
      <c r="A6" s="30">
        <v>0.112115</v>
      </c>
      <c r="B6" s="31">
        <v>114.71036595919293</v>
      </c>
      <c r="C6" s="31">
        <v>115.64812814176561</v>
      </c>
      <c r="D6" s="31">
        <v>116.65118083966678</v>
      </c>
      <c r="E6" s="31">
        <v>117.73145071343264</v>
      </c>
      <c r="F6" s="31">
        <v>118.90395763776938</v>
      </c>
    </row>
    <row r="7" spans="1:6" x14ac:dyDescent="0.25">
      <c r="A7" s="30">
        <v>0.122115</v>
      </c>
      <c r="B7" s="31">
        <v>103.48190444745056</v>
      </c>
      <c r="C7" s="31">
        <v>103.92356159039342</v>
      </c>
      <c r="D7" s="32">
        <v>104.3742020543366</v>
      </c>
      <c r="E7" s="31">
        <v>104.8352886826283</v>
      </c>
      <c r="F7" s="31">
        <v>105.3086201605146</v>
      </c>
    </row>
    <row r="8" spans="1:6" x14ac:dyDescent="0.25">
      <c r="A8" s="30">
        <v>0.132115</v>
      </c>
      <c r="B8" s="31">
        <v>94.77027211773688</v>
      </c>
      <c r="C8" s="31">
        <v>95.09122494627881</v>
      </c>
      <c r="D8" s="31">
        <v>95.41217777482072</v>
      </c>
      <c r="E8" s="31">
        <v>95.73313060336268</v>
      </c>
      <c r="F8" s="31">
        <v>96.0540834319046</v>
      </c>
    </row>
    <row r="9" spans="1:6" x14ac:dyDescent="0.25">
      <c r="A9" s="30">
        <v>0.142115</v>
      </c>
      <c r="B9" s="31">
        <v>87.5401046860299</v>
      </c>
      <c r="C9" s="31">
        <v>87.82689640612412</v>
      </c>
      <c r="D9" s="31">
        <v>88.11368812621835</v>
      </c>
      <c r="E9" s="31">
        <v>88.40047984631256</v>
      </c>
      <c r="F9" s="31">
        <v>88.68727156640676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10064700000</v>
      </c>
      <c r="C5" s="18">
        <v>8352100000</v>
      </c>
      <c r="D5" s="18">
        <v>7124100000</v>
      </c>
      <c r="E5" s="18">
        <v>6222200000</v>
      </c>
      <c r="F5" s="8" t="s">
        <v>84</v>
      </c>
    </row>
    <row r="6" spans="1:6" x14ac:dyDescent="0.25">
      <c r="A6" t="s">
        <v>44</v>
      </c>
      <c r="B6" s="18">
        <v>2945500000</v>
      </c>
      <c r="C6" s="18">
        <v>2348900000</v>
      </c>
      <c r="D6" s="18">
        <v>1766800000</v>
      </c>
      <c r="E6" s="18">
        <v>1577100000</v>
      </c>
      <c r="F6" s="8" t="s">
        <v>85</v>
      </c>
    </row>
    <row r="7" spans="1:6" x14ac:dyDescent="0.25">
      <c r="A7" t="s">
        <v>86</v>
      </c>
      <c r="B7" s="18">
        <v>677100000</v>
      </c>
      <c r="C7" s="18">
        <v>499700000</v>
      </c>
      <c r="D7" s="18">
        <v>454800000</v>
      </c>
      <c r="E7" s="18">
        <v>365800000</v>
      </c>
      <c r="F7" s="8" t="s">
        <v>87</v>
      </c>
    </row>
    <row r="8" spans="1:6" x14ac:dyDescent="0.25">
      <c r="A8" t="s">
        <v>88</v>
      </c>
      <c r="B8" s="18">
        <v>539800000</v>
      </c>
      <c r="C8" s="18">
        <v>1111200000</v>
      </c>
      <c r="D8" s="18">
        <v>1064200000</v>
      </c>
      <c r="E8" s="18">
        <v>532400000</v>
      </c>
      <c r="F8" s="8" t="s">
        <v>89</v>
      </c>
    </row>
    <row r="9" spans="1:6" x14ac:dyDescent="0.25">
      <c r="A9" t="s">
        <v>90</v>
      </c>
      <c r="B9" s="18">
        <v>1272300000</v>
      </c>
      <c r="C9" s="18">
        <v>919300000</v>
      </c>
      <c r="D9" s="18">
        <v>777600000</v>
      </c>
      <c r="E9" s="18">
        <v>619100000</v>
      </c>
      <c r="F9" s="8" t="s">
        <v>91</v>
      </c>
    </row>
    <row r="10" spans="1:6" x14ac:dyDescent="0.25">
      <c r="A10" t="s">
        <v>92</v>
      </c>
      <c r="B10" s="18">
        <v>0</v>
      </c>
      <c r="C10" s="18">
        <v>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5934900000</v>
      </c>
      <c r="C11" s="18">
        <v>4013300000</v>
      </c>
      <c r="D11" s="18">
        <v>5223200000</v>
      </c>
      <c r="E11" s="18">
        <v>4117900000</v>
      </c>
      <c r="F11" s="8" t="s">
        <v>95</v>
      </c>
    </row>
    <row r="12" spans="1:6" x14ac:dyDescent="0.25">
      <c r="A12" t="s">
        <v>32</v>
      </c>
      <c r="B12" s="34">
        <v>362700000</v>
      </c>
      <c r="C12" s="34">
        <v>362000000</v>
      </c>
      <c r="D12" s="34">
        <v>357400000</v>
      </c>
      <c r="E12" s="34">
        <v>362000000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