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<sst xmlns="http://schemas.openxmlformats.org/spreadsheetml/2006/main" count="121" uniqueCount="108">
  <si>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Intuitive Surgical, Inc. (ISRG)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</si>
  <si>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</si>
  <si>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</si>
  <si>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</si>
  <si>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</si>
  <si>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</si>
  <si>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</si>
  <si>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</si>
  <si>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</si>
  <si>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</si>
  <si>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</si>
  <si>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</si>
  <si>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</si>
  <si>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</si>
  <si>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</si>
  <si>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</si>
  <si>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</si>
  <si>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</si>
  <si>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</si>
  <si>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</si>
  <si>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</si>
  <si>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</si>
  <si>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</si>
  <si>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</si>
  <si>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</si>
  <si>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</si>
  <si>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</si>
  <si>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</si>
  <si>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</si>
  <si>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</si>
  <si>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</si>
  <si>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</si>
  <si>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</si>
  <si>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</si>
  <si>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</si>
  <si>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</si>
  <si>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</si>
  <si>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</si>
  <si>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</si>
  <si>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</si>
  <si>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</si>
  <si>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</si>
  <si>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</si>
  <si>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</si>
  <si>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</si>
  <si>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</si>
  <si>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</si>
  <si>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</si>
  <si>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</si>
  <si>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</si>
  <si>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</si>
  <si>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</si>
  <si>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</si>
  <si>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</si>
  <si>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</si>
  <si>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</si>
  <si>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</si>
  <si>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</si>
  <si>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</si>
  <si>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</si>
  <si>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</si>
  <si>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</si>
  <si>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</si>
  <si>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</si>
  <si>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</si>
  <si>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</si>
  <si>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</si>
  <si>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</si>
  <si>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</si>
  <si>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</si>
  <si>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</si>
  <si>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</si>
  <si>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</si>
  <si>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</si>
  <si>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</si>
  <si>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</si>
  <si>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</si>
  <si>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</si>
  <si>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</si>
  <si>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</si>
  <si>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</si>
  <si>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</si>
  <si>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</si>
  <si>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</si>
  <si>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</si>
  <si>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</si>
  <si>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</si>
  <si>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</si>
  <si>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</si>
  <si>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</si>
  <si>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</si>
  <si>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</si>
  <si>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</si>
  <si>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</si>
  <si>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</si>
  <si>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</si>
  <si>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</si>
  <si>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</si>
  <si>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</si>
  <si>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</si>
  <si>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derived</t>
  </si>
  <si>
    <t>Cash and equivalents</t>
  </si>
  <si>
    <t>cashCashEquivalentsAndShortTermInvestments</t>
  </si>
  <si>
    <t>dilutedAverageShares</t>
  </si>
  <si>
    <t>Model notes</t>
  </si>
  <si>
    <t>Adjusted: Capital expenditure runs at 10.5% of revenue against depreciation of 6.2%.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</si>
  <si>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40.5x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</si>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</sst>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0.18488422108955072</v>
      </c>
    </row>
    <row r="7" spans="1:2" x14ac:dyDescent="0.25">
      <c r="A7" t="s">
        <v>4</v>
      </c>
      <c r="B7" s="5">
        <v>0.2688394584224628</v>
      </c>
    </row>
    <row r="8" spans="1:2" x14ac:dyDescent="0.25">
      <c r="A8" t="s">
        <v>5</v>
      </c>
      <c r="B8" s="5">
        <v>0.1285400146291945</v>
      </c>
    </row>
    <row r="9" spans="1:2" x14ac:dyDescent="0.25">
      <c r="A9" t="s">
        <v>6</v>
      </c>
      <c r="B9" s="5">
        <v>0.06243328388905868</v>
      </c>
    </row>
    <row r="10" spans="1:3" x14ac:dyDescent="0.25">
      <c r="A10" t="s">
        <v>7</v>
      </c>
      <c r="B10" s="5">
        <v>0.10540556061762371</v>
      </c>
      <c r="C10" s="6" t="s">
        <v>8</v>
      </c>
    </row>
    <row r="11" spans="1:2" x14ac:dyDescent="0.25">
      <c r="A11" t="s">
        <v>9</v>
      </c>
      <c r="B11" s="5">
        <v>0.3025578541815792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0.12451445629361678</v>
      </c>
      <c r="C14" s="6" t="s">
        <v>13</v>
      </c>
    </row>
    <row r="15" spans="1:3" x14ac:dyDescent="0.25">
      <c r="A15" t="s">
        <v>14</v>
      </c>
      <c r="B15" s="5">
        <v>0.05627110845093701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1.31021</v>
      </c>
      <c r="C19" s="6" t="s">
        <v>21</v>
      </c>
    </row>
    <row r="20" spans="1:2" x14ac:dyDescent="0.25">
      <c r="A20" t="s">
        <v>22</v>
      </c>
      <c r="B20" s="9">
        <f>B17+B19*B18</f>
        <v>0.104361883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152619646976</v>
      </c>
    </row>
    <row r="23" spans="1:2" x14ac:dyDescent="0.25">
      <c r="A23" t="s">
        <v>26</v>
      </c>
      <c r="B23" s="10">
        <v>0</v>
      </c>
    </row>
    <row r="24" spans="1:2" x14ac:dyDescent="0.25">
      <c r="A24" t="s">
        <v>27</v>
      </c>
      <c r="B24" s="9">
        <f>B22/(B22+B23)</f>
        <v>1</v>
      </c>
    </row>
    <row r="25" spans="1:2" x14ac:dyDescent="0.25">
      <c r="A25" t="s">
        <v>28</v>
      </c>
      <c r="B25" s="9">
        <f>1-B24</f>
        <v>0</v>
      </c>
    </row>
    <row r="26" spans="1:2" x14ac:dyDescent="0.25">
      <c r="A26" t="s">
        <v>29</v>
      </c>
      <c r="B26" s="11">
        <f>B24*B20+B25*B21*(1-B8)</f>
        <v>0.104361883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10064700000</v>
      </c>
      <c r="C29" s="6" t="s">
        <v>32</v>
      </c>
    </row>
    <row r="30" spans="1:2" x14ac:dyDescent="0.25">
      <c r="A30" t="s">
        <v>33</v>
      </c>
      <c r="B30" s="10">
        <v>-5934900000</v>
      </c>
    </row>
    <row r="31" spans="1:2" x14ac:dyDescent="0.25">
      <c r="A31" t="s">
        <v>34</v>
      </c>
      <c r="B31" s="12">
        <v>362700000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0.18488422108955072</v>
      </c>
      <c r="C5" s="5">
        <v>0.11855210764413271</v>
      </c>
      <c r="D5" s="5">
        <v>0.10685809418861612</v>
      </c>
      <c r="E5" s="5">
        <v>0.09516408073309954</v>
      </c>
      <c r="F5" s="5">
        <v>0.08347006727758294</v>
      </c>
      <c r="G5" s="5">
        <v>0.07177605382206635</v>
      </c>
      <c r="H5" s="5">
        <v>0.060082040366549766</v>
      </c>
      <c r="I5" s="5">
        <v>0.048388026911033166</v>
      </c>
      <c r="J5" s="5">
        <v>0.03669401345551658</v>
      </c>
      <c r="K5" s="5">
        <v>0.024999999999999994</v>
      </c>
    </row>
    <row r="6" spans="1:11" x14ac:dyDescent="0.25">
      <c r="A6" t="s">
        <v>50</v>
      </c>
      <c r="B6" s="18">
        <f>Assumptions!B29*(1+B5)</f>
        <v>11925504220.000002</v>
      </c>
      <c r="C6" s="18">
        <f>B6*(1+C5)</f>
        <v>13339297880.000002</v>
      </c>
      <c r="D6" s="18">
        <f>C6*(1+D5)</f>
        <v>14764709829.27105</v>
      </c>
      <c r="E6" s="18">
        <f>D6*(1+E5)</f>
        <v>16169779867.464588</v>
      </c>
      <c r="F6" s="18">
        <f>E6*(1+F5)</f>
        <v>17519472480.865566</v>
      </c>
      <c r="G6" s="18">
        <f>F6*(1+G5)</f>
        <v>18776951080.586384</v>
      </c>
      <c r="H6" s="18">
        <f>G6*(1+H5)</f>
        <v>19905108613.370907</v>
      </c>
      <c r="I6" s="18">
        <f>H6*(1+I5)</f>
        <v>20868277544.621735</v>
      </c>
      <c r="J6" s="18">
        <f>I6*(1+J5)</f>
        <v>21634018401.63754</v>
      </c>
      <c r="K6" s="18">
        <f>J6*(1+K5)</f>
        <v>22174868861.678474</v>
      </c>
    </row>
    <row r="7" spans="1:11" x14ac:dyDescent="0.25">
      <c r="A7" t="s">
        <v>4</v>
      </c>
      <c r="B7" s="9">
        <f>Assumptions!B7</f>
        <v>0.2688394584224628</v>
      </c>
      <c r="C7" s="9">
        <f>Assumptions!B7</f>
        <v>0.2688394584224628</v>
      </c>
      <c r="D7" s="9">
        <f>Assumptions!B7</f>
        <v>0.2688394584224628</v>
      </c>
      <c r="E7" s="9">
        <f>Assumptions!B7</f>
        <v>0.2688394584224628</v>
      </c>
      <c r="F7" s="9">
        <f>Assumptions!B7</f>
        <v>0.2688394584224628</v>
      </c>
      <c r="G7" s="9">
        <f>Assumptions!B7</f>
        <v>0.2688394584224628</v>
      </c>
      <c r="H7" s="9">
        <f>Assumptions!B7</f>
        <v>0.2688394584224628</v>
      </c>
      <c r="I7" s="9">
        <f>Assumptions!B7</f>
        <v>0.2688394584224628</v>
      </c>
      <c r="J7" s="9">
        <f>Assumptions!B7</f>
        <v>0.2688394584224628</v>
      </c>
      <c r="K7" s="9">
        <f>Assumptions!B7</f>
        <v>0.2688394584224628</v>
      </c>
    </row>
    <row r="8" spans="1:11" x14ac:dyDescent="0.25">
      <c r="A8" t="s">
        <v>51</v>
      </c>
      <c r="B8" s="18">
        <f>B6*B7</f>
        <v>3206046095.9195952</v>
      </c>
      <c r="C8" s="18">
        <f>C6*C7</f>
        <v>3586129617.795107</v>
      </c>
      <c r="D8" s="18">
        <f>D6*D7</f>
        <v>3969336594.266042</v>
      </c>
      <c r="E8" s="18">
        <f>E6*E7</f>
        <v>4347074862.379622</v>
      </c>
      <c r="F8" s="18">
        <f>F6*F7</f>
        <v>4709925493.60314</v>
      </c>
      <c r="G8" s="18">
        <f>G6*G7</f>
        <v>5047985359.329922</v>
      </c>
      <c r="H8" s="18">
        <f>H6*H7</f>
        <v>5351278619.458935</v>
      </c>
      <c r="I8" s="18">
        <f>I6*I7</f>
        <v>5610216433.305749</v>
      </c>
      <c r="J8" s="18">
        <f>J6*J7</f>
        <v>5816077790.597831</v>
      </c>
      <c r="K8" s="18">
        <f>K6*K7</f>
        <v>5961479735.362776</v>
      </c>
    </row>
    <row r="9" spans="1:11" x14ac:dyDescent="0.25">
      <c r="A9" t="s">
        <v>52</v>
      </c>
      <c r="B9" s="18">
        <f>B8*(1-Assumptions!B8)</f>
        <v>2793940883.8482184</v>
      </c>
      <c r="C9" s="18">
        <f>C8*(1-Assumptions!B8)</f>
        <v>3125168464.261536</v>
      </c>
      <c r="D9" s="18">
        <f>D8*(1-Assumptions!B8)</f>
        <v>3459118010.370888</v>
      </c>
      <c r="E9" s="18">
        <f>E8*(1-Assumptions!B8)</f>
        <v>3788301795.975142</v>
      </c>
      <c r="F9" s="18">
        <f>F8*(1-Assumptions!B8)</f>
        <v>4104511601.752976</v>
      </c>
      <c r="G9" s="18">
        <f>G8*(1-Assumptions!B8)</f>
        <v>4399117247.393694</v>
      </c>
      <c r="H9" s="18">
        <f>H8*(1-Assumptions!B8)</f>
        <v>4663425187.428787</v>
      </c>
      <c r="I9" s="18">
        <f>I8*(1-Assumptions!B8)</f>
        <v>4889079130.89568</v>
      </c>
      <c r="J9" s="18">
        <f>J8*(1-Assumptions!B8)</f>
        <v>5068479066.309853</v>
      </c>
      <c r="K9" s="18">
        <f>K8*(1-Assumptions!B8)</f>
        <v>5195191042.967598</v>
      </c>
    </row>
    <row r="10" spans="1:11" x14ac:dyDescent="0.25">
      <c r="A10" t="s">
        <v>53</v>
      </c>
      <c r="B10" s="18">
        <f>B6*Assumptions!B9</f>
        <v>744548390.4874275</v>
      </c>
      <c r="C10" s="18">
        <f>C6*Assumptions!B9</f>
        <v>832816171.4227587</v>
      </c>
      <c r="D10" s="18">
        <f>D6*Assumptions!B9</f>
        <v>921809320.3104546</v>
      </c>
      <c r="E10" s="18">
        <f>E6*Assumptions!B9</f>
        <v>1009532456.8890023</v>
      </c>
      <c r="F10" s="18">
        <f>F6*Assumptions!B9</f>
        <v>1093798198.984431</v>
      </c>
      <c r="G10" s="18">
        <f>G6*Assumptions!B9</f>
        <v>1172306717.385217</v>
      </c>
      <c r="H10" s="18">
        <f>H6*Assumptions!B9</f>
        <v>1242741296.901133</v>
      </c>
      <c r="I10" s="18">
        <f>I6*Assumptions!B9</f>
        <v>1302875096.219037</v>
      </c>
      <c r="J10" s="18">
        <f>J6*Assumptions!B9</f>
        <v>1350682812.530556</v>
      </c>
      <c r="K10" s="18">
        <f>K6*Assumptions!B9</f>
        <v>1384449882.8438196</v>
      </c>
    </row>
    <row r="11" spans="1:11" x14ac:dyDescent="0.25">
      <c r="A11" t="s">
        <v>54</v>
      </c>
      <c r="B11" s="18">
        <f>-B6*B19</f>
        <v>-1257014457.9569376</v>
      </c>
      <c r="C11" s="18">
        <f>-C6*C19</f>
        <v>-1404528885.3910615</v>
      </c>
      <c r="D11" s="18">
        <f>-D6*D19</f>
        <v>-1552945813.7227693</v>
      </c>
      <c r="E11" s="18">
        <f>-E6*E19</f>
        <v>-1698903355.7741828</v>
      </c>
      <c r="F11" s="18">
        <f>-F6*F19</f>
        <v>-1838731304.7147987</v>
      </c>
      <c r="G11" s="18">
        <f>-G6*G19</f>
        <v>-1968586463.4231822</v>
      </c>
      <c r="H11" s="18">
        <f>-H6*H19</f>
        <v>-2084613959.2309308</v>
      </c>
      <c r="I11" s="18">
        <f>-I6*I19</f>
        <v>-2183126285.901694</v>
      </c>
      <c r="J11" s="18">
        <f>-J6*J19</f>
        <v>-2260789395.9509583</v>
      </c>
      <c r="K11" s="18">
        <f>-K6*K19</f>
        <v>-2314803461.70751</v>
      </c>
    </row>
    <row r="12" spans="1:11" x14ac:dyDescent="0.25">
      <c r="A12" t="s">
        <v>55</v>
      </c>
      <c r="B12" s="18">
        <f>-(B6-Assumptions!B29)*Assumptions!B11</f>
        <v>-563000931.8552278</v>
      </c>
      <c r="C12" s="18">
        <f>-(C6-B6)*Assumptions!B11</f>
        <v>-427754376.02512115</v>
      </c>
      <c r="D12" s="18">
        <f>-(D6-C6)*Assumptions!B11</f>
        <v>-431269580.6962302</v>
      </c>
      <c r="E12" s="18">
        <f>-(E6-D6)*Assumptions!B11</f>
        <v>-425114975.7306666</v>
      </c>
      <c r="F12" s="18">
        <f>-(F6-E6)*Assumptions!B11</f>
        <v>-408360100.91532767</v>
      </c>
      <c r="G12" s="18">
        <f>-(G6-F6)*Assumptions!B11</f>
        <v>-380460026.81078756</v>
      </c>
      <c r="H12" s="18">
        <f>-(H6-G6)*Assumptions!B11</f>
        <v>-341332922.2980699</v>
      </c>
      <c r="I12" s="18">
        <f>-(I6-H6)*Assumptions!B11</f>
        <v>-291414325.05361545</v>
      </c>
      <c r="J12" s="18">
        <f>-(J6-I6)*Assumptions!B11</f>
        <v>-231680910.5578652</v>
      </c>
      <c r="K12" s="18">
        <f>-(K6-J6)*Assumptions!B11</f>
        <v>-163638554.6231054</v>
      </c>
    </row>
    <row r="13" spans="1:11" x14ac:dyDescent="0.25">
      <c r="A13" s="19" t="s">
        <v>56</v>
      </c>
      <c r="B13" s="20">
        <f>B9+B10+B11+B12</f>
        <v>1718473884.52348</v>
      </c>
      <c r="C13" s="20">
        <f>C9+C10+C11+C12</f>
        <v>2125701374.2681117</v>
      </c>
      <c r="D13" s="20">
        <f>D9+D10+D11+D12</f>
        <v>2396711936.2623434</v>
      </c>
      <c r="E13" s="20">
        <f>E9+E10+E11+E12</f>
        <v>2673815921.359295</v>
      </c>
      <c r="F13" s="20">
        <f>F9+F10+F11+F12</f>
        <v>2951218395.1072803</v>
      </c>
      <c r="G13" s="20">
        <f>G9+G10+G11+G12</f>
        <v>3222377474.5449405</v>
      </c>
      <c r="H13" s="20">
        <f>H9+H10+H11+H12</f>
        <v>3480219602.800919</v>
      </c>
      <c r="I13" s="20">
        <f>I9+I10+I11+I12</f>
        <v>3717413616.159408</v>
      </c>
      <c r="J13" s="20">
        <f>J9+J10+J11+J12</f>
        <v>3926691572.331585</v>
      </c>
      <c r="K13" s="20">
        <f>K9+K10+K11+K12</f>
        <v>4101198909.480802</v>
      </c>
    </row>
    <row r="14" spans="1:11" x14ac:dyDescent="0.25">
      <c r="A14" t="s">
        <v>57</v>
      </c>
      <c r="B14" s="21">
        <f>1/(1+Assumptions!$B$26)^(1-0.5*Assumptions!$B$32)</f>
        <v>0.9515777872467542</v>
      </c>
      <c r="C14" s="21">
        <f>1/(1+Assumptions!$B$26)^(2-0.5*Assumptions!$B$32)</f>
        <v>0.8616539577242492</v>
      </c>
      <c r="D14" s="21">
        <f>1/(1+Assumptions!$B$26)^(3-0.5*Assumptions!$B$32)</f>
        <v>0.7802279044470148</v>
      </c>
      <c r="E14" s="21">
        <f>1/(1+Assumptions!$B$26)^(4-0.5*Assumptions!$B$32)</f>
        <v>0.7064965899832807</v>
      </c>
      <c r="F14" s="21">
        <f>1/(1+Assumptions!$B$26)^(5-0.5*Assumptions!$B$32)</f>
        <v>0.639732863709568</v>
      </c>
      <c r="G14" s="21">
        <f>1/(1+Assumptions!$B$26)^(6-0.5*Assumptions!$B$32)</f>
        <v>0.579278290528946</v>
      </c>
      <c r="H14" s="21">
        <f>1/(1+Assumptions!$B$26)^(7-0.5*Assumptions!$B$32)</f>
        <v>0.5245366572733714</v>
      </c>
      <c r="I14" s="21">
        <f>1/(1+Assumptions!$B$26)^(8-0.5*Assumptions!$B$32)</f>
        <v>0.4749680927491513</v>
      </c>
      <c r="J14" s="21">
        <f>1/(1+Assumptions!$B$26)^(9-0.5*Assumptions!$B$32)</f>
        <v>0.4300837434364361</v>
      </c>
      <c r="K14" s="21">
        <f>1/(1+Assumptions!$B$26)^(10-0.5*Assumptions!$B$32)</f>
        <v>0.38944095233358944</v>
      </c>
    </row>
    <row r="15" spans="1:11" x14ac:dyDescent="0.25">
      <c r="A15" s="19" t="s">
        <v>58</v>
      </c>
      <c r="B15" s="20">
        <f>B13*B14</f>
        <v>1635261576.4761872</v>
      </c>
      <c r="C15" s="20">
        <f>C13*C14</f>
        <v>1831619002.077994</v>
      </c>
      <c r="D15" s="20">
        <f>D13*D14</f>
        <v>1869981531.5931156</v>
      </c>
      <c r="E15" s="20">
        <f>E13*E14</f>
        <v>1889041830.6833456</v>
      </c>
      <c r="F15" s="20">
        <f>F13*F14</f>
        <v>1887991395.3343356</v>
      </c>
      <c r="G15" s="20">
        <f>G13*G14</f>
        <v>1866653314.8933752</v>
      </c>
      <c r="H15" s="20">
        <f>H13*H14</f>
        <v>1825502757.0304544</v>
      </c>
      <c r="I15" s="20">
        <f>I13*I14</f>
        <v>1765652855.2269597</v>
      </c>
      <c r="J15" s="20">
        <f>J13*J14</f>
        <v>1688806210.7486732</v>
      </c>
      <c r="K15" s="20">
        <f>K13*K14</f>
        <v>1597174809.017682</v>
      </c>
    </row>
    <row r="17" spans="1:2" x14ac:dyDescent="0.25">
      <c r="A17" s="22" t="s">
        <v>59</v>
      </c>
      <c r="B17" s="23">
        <f>SUM(B15:K15)</f>
        <v>17857685283.082123</v>
      </c>
    </row>
    <row r="19" spans="1:11" x14ac:dyDescent="0.25">
      <c r="A19" t="s">
        <v>7</v>
      </c>
      <c r="B19" s="9">
        <f>Assumptions!$B$10+($B$20-Assumptions!$B$10)*0/9</f>
        <v>0.10540556061762371</v>
      </c>
      <c r="C19" s="9">
        <f>Assumptions!$B$10+($B$20-Assumptions!$B$10)*1/9</f>
        <v>0.1052925647231338</v>
      </c>
      <c r="D19" s="9">
        <f>Assumptions!$B$10+($B$20-Assumptions!$B$10)*2/9</f>
        <v>0.10517956882864389</v>
      </c>
      <c r="E19" s="9">
        <f>Assumptions!$B$10+($B$20-Assumptions!$B$10)*3/9</f>
        <v>0.10506657293415397</v>
      </c>
      <c r="F19" s="9">
        <f>Assumptions!$B$10+($B$20-Assumptions!$B$10)*4/9</f>
        <v>0.10495357703966406</v>
      </c>
      <c r="G19" s="9">
        <f>Assumptions!$B$10+($B$20-Assumptions!$B$10)*5/9</f>
        <v>0.10484058114517415</v>
      </c>
      <c r="H19" s="9">
        <f>Assumptions!$B$10+($B$20-Assumptions!$B$10)*6/9</f>
        <v>0.10472758525068424</v>
      </c>
      <c r="I19" s="9">
        <f>Assumptions!$B$10+($B$20-Assumptions!$B$10)*7/9</f>
        <v>0.10461458935619432</v>
      </c>
      <c r="J19" s="9">
        <f>Assumptions!$B$10+($B$20-Assumptions!$B$10)*8/9</f>
        <v>0.10450159346170441</v>
      </c>
      <c r="K19" s="9">
        <f>Assumptions!$B$10+($B$20-Assumptions!$B$10)*9/9</f>
        <v>0.1043885975672145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0.1043885975672145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4101198909.480802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5314272069.351073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0.20077989933191093</v>
      </c>
    </row>
    <row r="7" spans="1:2" x14ac:dyDescent="0.25">
      <c r="A7" t="s">
        <v>66</v>
      </c>
      <c r="B7" s="18">
        <f>-MAX(B5,0)*B6</f>
        <v>-1066999011.1066945</v>
      </c>
    </row>
    <row r="8" spans="1:2" x14ac:dyDescent="0.25">
      <c r="A8" t="s">
        <v>67</v>
      </c>
      <c r="B8" s="18">
        <f>IF(OR(Assumptions!$B$33=0,Assumptions!B12&lt;=0),B5,MAX(B5+B7,0))</f>
        <v>4247273058.244379</v>
      </c>
    </row>
    <row r="9" spans="1:2" x14ac:dyDescent="0.25">
      <c r="A9" t="s">
        <v>68</v>
      </c>
      <c r="B9" s="18">
        <f>B8*(1+Assumptions!B12)/(Assumptions!B26-Assumptions!B12)</f>
        <v>54855740818.30302</v>
      </c>
    </row>
    <row r="10" spans="1:2" x14ac:dyDescent="0.25">
      <c r="A10" t="s">
        <v>69</v>
      </c>
      <c r="B10" s="18">
        <f>B9/(1+Assumptions!B26)^(10-0.5*Assumptions!B32)</f>
        <v>21363071945.24448</v>
      </c>
    </row>
    <row r="11" spans="1:2" x14ac:dyDescent="0.25">
      <c r="A11" t="s">
        <v>70</v>
      </c>
      <c r="B11" s="18">
        <f>Forecast!B17+B10</f>
        <v>39220757228.3266</v>
      </c>
    </row>
    <row r="12" spans="1:2" x14ac:dyDescent="0.25">
      <c r="A12" t="s">
        <v>71</v>
      </c>
      <c r="B12" s="18">
        <f>-Assumptions!B30</f>
        <v>5934900000</v>
      </c>
    </row>
    <row r="13" spans="1:2" x14ac:dyDescent="0.25">
      <c r="A13" t="s">
        <v>72</v>
      </c>
      <c r="B13" s="18">
        <f>B11+B12</f>
        <v>45155657228.3266</v>
      </c>
    </row>
    <row r="14" spans="1:2" x14ac:dyDescent="0.25">
      <c r="A14" s="19" t="s">
        <v>73</v>
      </c>
      <c r="B14" s="24">
        <f>B13/Assumptions!B31</f>
        <v>124.49864137945023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7345929618.206595</v>
      </c>
    </row>
    <row r="18" spans="1:2" x14ac:dyDescent="0.25">
      <c r="A18" t="s">
        <v>68</v>
      </c>
      <c r="B18" s="18">
        <f>B17*Assumptions!B13</f>
        <v>146918592364.1319</v>
      </c>
    </row>
    <row r="19" spans="1:2" x14ac:dyDescent="0.25">
      <c r="A19" t="s">
        <v>69</v>
      </c>
      <c r="B19" s="18">
        <f>B18/(1+Assumptions!B26)^(10-0.5*Assumptions!B32)</f>
        <v>57216116525.79795</v>
      </c>
    </row>
    <row r="20" spans="1:2" x14ac:dyDescent="0.25">
      <c r="A20" t="s">
        <v>70</v>
      </c>
      <c r="B20" s="18">
        <f>Forecast!B17+B19</f>
        <v>75073801808.88007</v>
      </c>
    </row>
    <row r="21" spans="1:2" x14ac:dyDescent="0.25">
      <c r="A21" t="s">
        <v>71</v>
      </c>
      <c r="B21" s="18">
        <f>-Assumptions!B30</f>
        <v>5934900000</v>
      </c>
    </row>
    <row r="22" spans="1:2" x14ac:dyDescent="0.25">
      <c r="A22" t="s">
        <v>72</v>
      </c>
      <c r="B22" s="18">
        <f>B20+B21</f>
        <v>81008701808.88007</v>
      </c>
    </row>
    <row r="23" spans="1:2" x14ac:dyDescent="0.25">
      <c r="A23" s="19" t="s">
        <v>73</v>
      </c>
      <c r="B23" s="25">
        <f>B22/Assumptions!B31</f>
        <v>223.34905378792408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432.01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124.49864137945023</v>
      </c>
    </row>
    <row r="29" spans="1:2" x14ac:dyDescent="0.25">
      <c r="A29" s="19" t="s">
        <v>81</v>
      </c>
      <c r="B29" s="11">
        <f>B28/B26-1</f>
        <v>-0.7118153714510076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0.084362</v>
      </c>
      <c r="B5" s="31">
        <v>160.69983737545928</v>
      </c>
      <c r="C5" s="31">
        <v>162.12495029349432</v>
      </c>
      <c r="D5" s="31">
        <v>163.99789760898128</v>
      </c>
      <c r="E5" s="31">
        <v>166.4422493885434</v>
      </c>
      <c r="F5" s="31">
        <v>169.63164257884262</v>
      </c>
    </row>
    <row r="6" spans="1:6" x14ac:dyDescent="0.25">
      <c r="A6" s="30">
        <v>0.094362</v>
      </c>
      <c r="B6" s="31">
        <v>140.69110193979907</v>
      </c>
      <c r="C6" s="31">
        <v>140.9215147681682</v>
      </c>
      <c r="D6" s="31">
        <v>141.35330713580677</v>
      </c>
      <c r="E6" s="31">
        <v>142.03341190821064</v>
      </c>
      <c r="F6" s="31">
        <v>143.02457437818458</v>
      </c>
    </row>
    <row r="7" spans="1:6" x14ac:dyDescent="0.25">
      <c r="A7" s="30">
        <v>0.104362</v>
      </c>
      <c r="B7" s="31">
        <v>125.26840393113088</v>
      </c>
      <c r="C7" s="31">
        <v>124.84081952667401</v>
      </c>
      <c r="D7" s="32">
        <v>124.49846948717779</v>
      </c>
      <c r="E7" s="31">
        <v>124.25854694185348</v>
      </c>
      <c r="F7" s="31">
        <v>124.1432025266773</v>
      </c>
    </row>
    <row r="8" spans="1:6" x14ac:dyDescent="0.25">
      <c r="A8" s="30">
        <v>0.114362</v>
      </c>
      <c r="B8" s="31">
        <v>113.03984114279689</v>
      </c>
      <c r="C8" s="31">
        <v>112.24779476472098</v>
      </c>
      <c r="D8" s="31">
        <v>111.48414874000352</v>
      </c>
      <c r="E8" s="31">
        <v>110.75395279838506</v>
      </c>
      <c r="F8" s="31">
        <v>110.06352925087698</v>
      </c>
    </row>
    <row r="9" spans="1:6" x14ac:dyDescent="0.25">
      <c r="A9" s="30">
        <v>0.124362</v>
      </c>
      <c r="B9" s="31">
        <v>103.12318348396646</v>
      </c>
      <c r="C9" s="31">
        <v>102.13456893908955</v>
      </c>
      <c r="D9" s="31">
        <v>101.14624644628877</v>
      </c>
      <c r="E9" s="31">
        <v>100.15826243083225</v>
      </c>
      <c r="F9" s="31">
        <v>99.17067370837046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10064700000</v>
      </c>
      <c r="C5" s="18">
        <v>8352100000</v>
      </c>
      <c r="D5" s="18">
        <v>7124100000</v>
      </c>
      <c r="E5" s="18">
        <v>6222200000</v>
      </c>
      <c r="F5" s="6" t="s">
        <v>91</v>
      </c>
    </row>
    <row r="6" spans="1:6" x14ac:dyDescent="0.25">
      <c r="A6" t="s">
        <v>51</v>
      </c>
      <c r="B6" s="18">
        <v>2945500000</v>
      </c>
      <c r="C6" s="18">
        <v>2348900000</v>
      </c>
      <c r="D6" s="18">
        <v>1766800000</v>
      </c>
      <c r="E6" s="18">
        <v>1577100000</v>
      </c>
      <c r="F6" s="6" t="s">
        <v>92</v>
      </c>
    </row>
    <row r="7" spans="1:6" x14ac:dyDescent="0.25">
      <c r="A7" t="s">
        <v>93</v>
      </c>
      <c r="B7" s="18">
        <v>677100000</v>
      </c>
      <c r="C7" s="18">
        <v>499700000</v>
      </c>
      <c r="D7" s="18">
        <v>454800000</v>
      </c>
      <c r="E7" s="18">
        <v>365800000</v>
      </c>
      <c r="F7" s="6" t="s">
        <v>94</v>
      </c>
    </row>
    <row r="8" spans="1:6" x14ac:dyDescent="0.25">
      <c r="A8" t="s">
        <v>95</v>
      </c>
      <c r="B8" s="18">
        <v>539800000</v>
      </c>
      <c r="C8" s="18">
        <v>1111200000</v>
      </c>
      <c r="D8" s="18">
        <v>1064200000</v>
      </c>
      <c r="E8" s="18">
        <v>532400000</v>
      </c>
      <c r="F8" s="6" t="s">
        <v>96</v>
      </c>
    </row>
    <row r="9" spans="1:6" x14ac:dyDescent="0.25">
      <c r="A9" t="s">
        <v>97</v>
      </c>
      <c r="B9" s="18">
        <v>1272300000</v>
      </c>
      <c r="C9" s="18">
        <v>919300000</v>
      </c>
      <c r="D9" s="18">
        <v>777600000</v>
      </c>
      <c r="E9" s="18">
        <v>619100000</v>
      </c>
      <c r="F9" s="6" t="s">
        <v>98</v>
      </c>
    </row>
    <row r="10" spans="1:6" x14ac:dyDescent="0.25">
      <c r="A10" t="s">
        <v>99</v>
      </c>
      <c r="B10" s="18">
        <v>0</v>
      </c>
      <c r="C10" s="18">
        <v>0</v>
      </c>
      <c r="D10" s="18">
        <v>0</v>
      </c>
      <c r="E10" s="18">
        <v>0</v>
      </c>
      <c r="F10" s="6" t="s">
        <v>100</v>
      </c>
    </row>
    <row r="11" spans="1:6" x14ac:dyDescent="0.25">
      <c r="A11" t="s">
        <v>101</v>
      </c>
      <c r="B11" s="18">
        <v>5934900000</v>
      </c>
      <c r="C11" s="18">
        <v>4013300000</v>
      </c>
      <c r="D11" s="18">
        <v>5223200000</v>
      </c>
      <c r="E11" s="18">
        <v>4117900000</v>
      </c>
      <c r="F11" s="6" t="s">
        <v>102</v>
      </c>
    </row>
    <row r="12" spans="1:6" x14ac:dyDescent="0.25">
      <c r="A12" t="s">
        <v>34</v>
      </c>
      <c r="B12" s="34">
        <v>362700000</v>
      </c>
      <c r="C12" s="34">
        <v>362000000</v>
      </c>
      <c r="D12" s="34">
        <v>357400000</v>
      </c>
      <c r="E12" s="34">
        <v>362000000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