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<sst xmlns="http://schemas.openxmlformats.org/spreadsheetml/2006/main" count="119" uniqueCount="106">
  <si>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Gartner, Inc. (IT)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</si>
  <si>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</si>
  <si>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</si>
  <si>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</si>
  <si>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</si>
  <si>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</si>
  <si>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</si>
  <si>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</si>
  <si>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</si>
  <si>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</si>
  <si>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</si>
  <si>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</si>
  <si>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</si>
  <si>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</si>
  <si>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</si>
  <si>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</si>
  <si>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</si>
  <si>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</si>
  <si>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</si>
  <si>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</si>
  <si>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</si>
  <si>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</si>
  <si>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</si>
  <si>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</si>
  <si>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9.4x interest cover. Book interest / average debt was lower, at 4.0%.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</si>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</sst>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-0.012307019949744702</v>
      </c>
    </row>
    <row r="7" spans="1:2" x14ac:dyDescent="0.25">
      <c r="A7" t="s">
        <v>4</v>
      </c>
      <c r="B7" s="5">
        <v>0.18906449607713266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0.03262895270693359</v>
      </c>
    </row>
    <row r="10" spans="1:3" x14ac:dyDescent="0.25">
      <c r="A10" t="s">
        <v>7</v>
      </c>
      <c r="B10" s="5">
        <v>0.017786147158655848</v>
      </c>
      <c r="C10" s="6" t="s">
        <v>8</v>
      </c>
    </row>
    <row r="11" spans="1:2" x14ac:dyDescent="0.25">
      <c r="A11" t="s">
        <v>9</v>
      </c>
      <c r="B11" s="5">
        <v>0.2610630176712424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11.68099487507449</v>
      </c>
    </row>
    <row r="14" spans="1:3" x14ac:dyDescent="0.25">
      <c r="A14" t="s">
        <v>12</v>
      </c>
      <c r="B14" s="5">
        <v>0.2804777416341082</v>
      </c>
      <c r="C14" s="6" t="s">
        <v>13</v>
      </c>
    </row>
    <row r="15" spans="1:3" x14ac:dyDescent="0.25">
      <c r="A15" t="s">
        <v>14</v>
      </c>
      <c r="B15" s="5">
        <v>0.01816390564219253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0.98526</v>
      </c>
      <c r="C19" s="6" t="s">
        <v>21</v>
      </c>
    </row>
    <row r="20" spans="1:2" x14ac:dyDescent="0.25">
      <c r="A20" t="s">
        <v>22</v>
      </c>
      <c r="B20" s="9">
        <f>B17+B19*B18</f>
        <v>0.090616498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14447853568</v>
      </c>
    </row>
    <row r="23" spans="1:2" x14ac:dyDescent="0.25">
      <c r="A23" t="s">
        <v>26</v>
      </c>
      <c r="B23" s="10">
        <v>3347950000</v>
      </c>
    </row>
    <row r="24" spans="1:2" x14ac:dyDescent="0.25">
      <c r="A24" t="s">
        <v>27</v>
      </c>
      <c r="B24" s="9">
        <f>B22/(B22+B23)</f>
        <v>0.8118685684966648</v>
      </c>
    </row>
    <row r="25" spans="1:2" x14ac:dyDescent="0.25">
      <c r="A25" t="s">
        <v>28</v>
      </c>
      <c r="B25" s="9">
        <f>1-B24</f>
        <v>0.18813143150333522</v>
      </c>
    </row>
    <row r="26" spans="1:2" x14ac:dyDescent="0.25">
      <c r="A26" t="s">
        <v>29</v>
      </c>
      <c r="B26" s="11">
        <f>B24*B20+B25*B21*(1-B8)</f>
        <v>0.08143683212063228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6497226000</v>
      </c>
      <c r="C29" s="6" t="s">
        <v>32</v>
      </c>
    </row>
    <row r="30" spans="1:2" x14ac:dyDescent="0.25">
      <c r="A30" t="s">
        <v>33</v>
      </c>
      <c r="B30" s="10">
        <v>1625429000</v>
      </c>
    </row>
    <row r="31" spans="1:2" x14ac:dyDescent="0.25">
      <c r="A31" t="s">
        <v>34</v>
      </c>
      <c r="B31" s="12">
        <v>75605000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-0.012307019949744702</v>
      </c>
      <c r="C5" s="5">
        <v>0.04019886192909938</v>
      </c>
      <c r="D5" s="5">
        <v>0.03829900418796196</v>
      </c>
      <c r="E5" s="5">
        <v>0.036399146446824536</v>
      </c>
      <c r="F5" s="5">
        <v>0.034499288705687116</v>
      </c>
      <c r="G5" s="5">
        <v>0.03259943096454969</v>
      </c>
      <c r="H5" s="5">
        <v>0.03069957322341227</v>
      </c>
      <c r="I5" s="5">
        <v>0.02879971548227485</v>
      </c>
      <c r="J5" s="5">
        <v>0.026899857741137425</v>
      </c>
      <c r="K5" s="5">
        <v>0.025</v>
      </c>
    </row>
    <row r="6" spans="1:11" x14ac:dyDescent="0.25">
      <c r="A6" t="s">
        <v>50</v>
      </c>
      <c r="B6" s="18">
        <f>Assumptions!B29*(1+B5)</f>
        <v>6417264510</v>
      </c>
      <c r="C6" s="18">
        <f>B6*(1+C5)</f>
        <v>6675231240</v>
      </c>
      <c r="D6" s="18">
        <f>C6*(1+D5)</f>
        <v>6930885949.216375</v>
      </c>
      <c r="E6" s="18">
        <f>D6*(1+E5)</f>
        <v>7183164281.888141</v>
      </c>
      <c r="F6" s="18">
        <f>E6*(1+F5)</f>
        <v>7430978340.26938</v>
      </c>
      <c r="G6" s="18">
        <f>F6*(1+G5)</f>
        <v>7673224005.672055</v>
      </c>
      <c r="H6" s="18">
        <f>G6*(1+H5)</f>
        <v>7908788707.893829</v>
      </c>
      <c r="I6" s="18">
        <f>H6*(1+I5)</f>
        <v>8136559572.4906</v>
      </c>
      <c r="J6" s="18">
        <f>I6*(1+J5)</f>
        <v>8355431867.492887</v>
      </c>
      <c r="K6" s="18">
        <f>J6*(1+K5)</f>
        <v>8564317664.180208</v>
      </c>
    </row>
    <row r="7" spans="1:11" x14ac:dyDescent="0.25">
      <c r="A7" t="s">
        <v>4</v>
      </c>
      <c r="B7" s="9">
        <f>Assumptions!B7</f>
        <v>0.18906449607713266</v>
      </c>
      <c r="C7" s="9">
        <f>Assumptions!B7</f>
        <v>0.18906449607713266</v>
      </c>
      <c r="D7" s="9">
        <f>Assumptions!B7</f>
        <v>0.18906449607713266</v>
      </c>
      <c r="E7" s="9">
        <f>Assumptions!B7</f>
        <v>0.18906449607713266</v>
      </c>
      <c r="F7" s="9">
        <f>Assumptions!B7</f>
        <v>0.18906449607713266</v>
      </c>
      <c r="G7" s="9">
        <f>Assumptions!B7</f>
        <v>0.18906449607713266</v>
      </c>
      <c r="H7" s="9">
        <f>Assumptions!B7</f>
        <v>0.18906449607713266</v>
      </c>
      <c r="I7" s="9">
        <f>Assumptions!B7</f>
        <v>0.18906449607713266</v>
      </c>
      <c r="J7" s="9">
        <f>Assumptions!B7</f>
        <v>0.18906449607713266</v>
      </c>
      <c r="K7" s="9">
        <f>Assumptions!B7</f>
        <v>0.18906449607713266</v>
      </c>
    </row>
    <row r="8" spans="1:11" x14ac:dyDescent="0.25">
      <c r="A8" t="s">
        <v>51</v>
      </c>
      <c r="B8" s="18">
        <f>B6*B7</f>
        <v>1213276880.7768176</v>
      </c>
      <c r="C8" s="18">
        <f>C6*C7</f>
        <v>1262049230.5889335</v>
      </c>
      <c r="D8" s="18">
        <f>D6*D7</f>
        <v>1310384459.3566732</v>
      </c>
      <c r="E8" s="18">
        <f>E6*E7</f>
        <v>1358081335.19444</v>
      </c>
      <c r="F8" s="18">
        <f>F6*F7</f>
        <v>1404934175.2631178</v>
      </c>
      <c r="G8" s="18">
        <f>G6*G7</f>
        <v>1450734229.9193444</v>
      </c>
      <c r="H8" s="18">
        <f>H6*H7</f>
        <v>1495271151.638464</v>
      </c>
      <c r="I8" s="18">
        <f>I6*I7</f>
        <v>1538334535.3745053</v>
      </c>
      <c r="J8" s="18">
        <f>J6*J7</f>
        <v>1579715515.534358</v>
      </c>
      <c r="K8" s="18">
        <f>K6*K7</f>
        <v>1619208403.4227169</v>
      </c>
    </row>
    <row r="9" spans="1:11" x14ac:dyDescent="0.25">
      <c r="A9" t="s">
        <v>52</v>
      </c>
      <c r="B9" s="18">
        <f>B8*(1-Assumptions!B8)</f>
        <v>958488735.8136859</v>
      </c>
      <c r="C9" s="18">
        <f>C8*(1-Assumptions!B8)</f>
        <v>997018892.1652575</v>
      </c>
      <c r="D9" s="18">
        <f>D8*(1-Assumptions!B8)</f>
        <v>1035203722.8917719</v>
      </c>
      <c r="E9" s="18">
        <f>E8*(1-Assumptions!B8)</f>
        <v>1072884254.8036076</v>
      </c>
      <c r="F9" s="18">
        <f>F8*(1-Assumptions!B8)</f>
        <v>1109897998.457863</v>
      </c>
      <c r="G9" s="18">
        <f>G8*(1-Assumptions!B8)</f>
        <v>1146080041.6362822</v>
      </c>
      <c r="H9" s="18">
        <f>H8*(1-Assumptions!B8)</f>
        <v>1181264209.7943866</v>
      </c>
      <c r="I9" s="18">
        <f>I8*(1-Assumptions!B8)</f>
        <v>1215284282.9458592</v>
      </c>
      <c r="J9" s="18">
        <f>J8*(1-Assumptions!B8)</f>
        <v>1247975257.272143</v>
      </c>
      <c r="K9" s="18">
        <f>K8*(1-Assumptions!B8)</f>
        <v>1279174638.7039464</v>
      </c>
    </row>
    <row r="10" spans="1:11" x14ac:dyDescent="0.25">
      <c r="A10" t="s">
        <v>53</v>
      </c>
      <c r="B10" s="18">
        <f>B6*Assumptions!B9</f>
        <v>209388620.20467335</v>
      </c>
      <c r="C10" s="18">
        <f>C6*Assumptions!B9</f>
        <v>217805804.43780568</v>
      </c>
      <c r="D10" s="18">
        <f>D6*Assumptions!B9</f>
        <v>226147549.85413164</v>
      </c>
      <c r="E10" s="18">
        <f>E6*Assumptions!B9</f>
        <v>234379127.63986272</v>
      </c>
      <c r="F10" s="18">
        <f>F6*Assumptions!B9</f>
        <v>242465040.83089745</v>
      </c>
      <c r="G10" s="18">
        <f>G6*Assumptions!B9</f>
        <v>250369263.19078103</v>
      </c>
      <c r="H10" s="18">
        <f>H6*Assumptions!B9</f>
        <v>258055492.7189982</v>
      </c>
      <c r="I10" s="18">
        <f>I6*Assumptions!B9</f>
        <v>265487417.48794356</v>
      </c>
      <c r="J10" s="18">
        <f>J6*Assumptions!B9</f>
        <v>272628991.2504312</v>
      </c>
      <c r="K10" s="18">
        <f>K6*Assumptions!B9</f>
        <v>279444716.03169197</v>
      </c>
    </row>
    <row r="11" spans="1:11" x14ac:dyDescent="0.25">
      <c r="A11" t="s">
        <v>54</v>
      </c>
      <c r="B11" s="18">
        <f>-B6*B19</f>
        <v>-114138410.9308795</v>
      </c>
      <c r="C11" s="18">
        <f>-C6*C19</f>
        <v>-129636500.12259038</v>
      </c>
      <c r="D11" s="18">
        <f>-D6*D19</f>
        <v>-145929140.53477386</v>
      </c>
      <c r="E11" s="18">
        <f>-E6*E19</f>
        <v>-162980846.54670602</v>
      </c>
      <c r="F11" s="18">
        <f>-F6*F19</f>
        <v>-180748601.66935235</v>
      </c>
      <c r="G11" s="18">
        <f>-G6*G19</f>
        <v>-199181856.2027107</v>
      </c>
      <c r="H11" s="18">
        <f>-H6*H19</f>
        <v>-218222609.0573141</v>
      </c>
      <c r="I11" s="18">
        <f>-I6*I19</f>
        <v>-237805576.8080439</v>
      </c>
      <c r="J11" s="18">
        <f>-J6*J19</f>
        <v>-257858451.88349771</v>
      </c>
      <c r="K11" s="18">
        <f>-K6*K19</f>
        <v>-278302250.5420852</v>
      </c>
    </row>
    <row r="12" spans="1:11" x14ac:dyDescent="0.25">
      <c r="A12" t="s">
        <v>55</v>
      </c>
      <c r="B12" s="18">
        <f>-(B6-Assumptions!B29)*Assumptions!B11</f>
        <v>20874987.87688887</v>
      </c>
      <c r="C12" s="18">
        <f>-(C6-B6)*Assumptions!B11</f>
        <v>-67345572.99258262</v>
      </c>
      <c r="D12" s="18">
        <f>-(D6-C6)*Assumptions!B11</f>
        <v>-66741989.869890936</v>
      </c>
      <c r="E12" s="18">
        <f>-(E6-D6)*Assumptions!B11</f>
        <v>-65860542.82036064</v>
      </c>
      <c r="F12" s="18">
        <f>-(F6-E6)*Assumptions!B11</f>
        <v>-64695085.90236368</v>
      </c>
      <c r="G12" s="18">
        <f>-(G6-F6)*Assumptions!B11</f>
        <v>-63241384.42780058</v>
      </c>
      <c r="H12" s="18">
        <f>-(H6-G6)*Assumptions!B11</f>
        <v>-61497232.018843964</v>
      </c>
      <c r="I12" s="18">
        <f>-(I6-H6)*Assumptions!B11</f>
        <v>-59462549.2492208</v>
      </c>
      <c r="J12" s="18">
        <f>-(J6-I6)*Assumptions!B11</f>
        <v>-57139461.817927405</v>
      </c>
      <c r="K12" s="18">
        <f>-(K6-J6)*Assumptions!B11</f>
        <v>-54532356.4318538</v>
      </c>
    </row>
    <row r="13" spans="1:11" x14ac:dyDescent="0.25">
      <c r="A13" s="19" t="s">
        <v>56</v>
      </c>
      <c r="B13" s="20">
        <f>B9+B10+B11+B12</f>
        <v>1074613932.9643686</v>
      </c>
      <c r="C13" s="20">
        <f>C9+C10+C11+C12</f>
        <v>1017842623.4878902</v>
      </c>
      <c r="D13" s="20">
        <f>D9+D10+D11+D12</f>
        <v>1048680142.3412387</v>
      </c>
      <c r="E13" s="20">
        <f>E9+E10+E11+E12</f>
        <v>1078421993.0764036</v>
      </c>
      <c r="F13" s="20">
        <f>F9+F10+F11+F12</f>
        <v>1106919351.7170446</v>
      </c>
      <c r="G13" s="20">
        <f>G9+G10+G11+G12</f>
        <v>1134026064.196552</v>
      </c>
      <c r="H13" s="20">
        <f>H9+H10+H11+H12</f>
        <v>1159599861.4372268</v>
      </c>
      <c r="I13" s="20">
        <f>I9+I10+I11+I12</f>
        <v>1183503574.376538</v>
      </c>
      <c r="J13" s="20">
        <f>J9+J10+J11+J12</f>
        <v>1205606334.8211489</v>
      </c>
      <c r="K13" s="20">
        <f>K9+K10+K11+K12</f>
        <v>1225784747.7616994</v>
      </c>
    </row>
    <row r="14" spans="1:11" x14ac:dyDescent="0.25">
      <c r="A14" t="s">
        <v>57</v>
      </c>
      <c r="B14" s="21">
        <f>1/(1+Assumptions!$B$26)^(1-0.5*Assumptions!$B$32)</f>
        <v>0.9616109975708436</v>
      </c>
      <c r="C14" s="21">
        <f>1/(1+Assumptions!$B$26)^(2-0.5*Assumptions!$B$32)</f>
        <v>0.8891975647668505</v>
      </c>
      <c r="D14" s="21">
        <f>1/(1+Assumptions!$B$26)^(3-0.5*Assumptions!$B$32)</f>
        <v>0.8222371740596147</v>
      </c>
      <c r="E14" s="21">
        <f>1/(1+Assumptions!$B$26)^(4-0.5*Assumptions!$B$32)</f>
        <v>0.7603191879892395</v>
      </c>
      <c r="F14" s="21">
        <f>1/(1+Assumptions!$B$26)^(5-0.5*Assumptions!$B$32)</f>
        <v>0.7030638918579272</v>
      </c>
      <c r="G14" s="21">
        <f>1/(1+Assumptions!$B$26)^(6-0.5*Assumptions!$B$32)</f>
        <v>0.6501201651133534</v>
      </c>
      <c r="H14" s="21">
        <f>1/(1+Assumptions!$B$26)^(7-0.5*Assumptions!$B$32)</f>
        <v>0.6011633280868629</v>
      </c>
      <c r="I14" s="21">
        <f>1/(1+Assumptions!$B$26)^(8-0.5*Assumptions!$B$32)</f>
        <v>0.5558931508815156</v>
      </c>
      <c r="J14" s="21">
        <f>1/(1+Assumptions!$B$26)^(9-0.5*Assumptions!$B$32)</f>
        <v>0.5140320121994021</v>
      </c>
      <c r="K14" s="21">
        <f>1/(1+Assumptions!$B$26)^(10-0.5*Assumptions!$B$32)</f>
        <v>0.47532319681716073</v>
      </c>
    </row>
    <row r="15" spans="1:11" x14ac:dyDescent="0.25">
      <c r="A15" s="19" t="s">
        <v>58</v>
      </c>
      <c r="B15" s="20">
        <f>B13*B14</f>
        <v>1033360576.0813941</v>
      </c>
      <c r="C15" s="20">
        <f>C13*C14</f>
        <v>905063182.1213343</v>
      </c>
      <c r="D15" s="20">
        <f>D13*D14</f>
        <v>862263796.7310946</v>
      </c>
      <c r="E15" s="20">
        <f>E13*E14</f>
        <v>819944934.0855885</v>
      </c>
      <c r="F15" s="20">
        <f>F13*F14</f>
        <v>778235027.3910391</v>
      </c>
      <c r="G15" s="20">
        <f>G13*G14</f>
        <v>737253212.0983087</v>
      </c>
      <c r="H15" s="20">
        <f>H13*H14</f>
        <v>697108911.9506683</v>
      </c>
      <c r="I15" s="20">
        <f>I13*I14</f>
        <v>657901531.0397098</v>
      </c>
      <c r="J15" s="20">
        <f>J13*J14</f>
        <v>619720250.2084613</v>
      </c>
      <c r="K15" s="20">
        <f>K13*K14</f>
        <v>582643924.915808</v>
      </c>
    </row>
    <row r="17" spans="1:2" x14ac:dyDescent="0.25">
      <c r="A17" s="22" t="s">
        <v>59</v>
      </c>
      <c r="B17" s="23">
        <f>SUM(B15:K15)</f>
        <v>7693495346.623405</v>
      </c>
    </row>
    <row r="19" spans="1:11" x14ac:dyDescent="0.25">
      <c r="A19" t="s">
        <v>7</v>
      </c>
      <c r="B19" s="9">
        <f>Assumptions!$B$10+($B$20-Assumptions!$B$10)*0/9</f>
        <v>0.017786147158655848</v>
      </c>
      <c r="C19" s="9">
        <f>Assumptions!$B$10+($B$20-Assumptions!$B$10)*1/9</f>
        <v>0.019420525740856637</v>
      </c>
      <c r="D19" s="9">
        <f>Assumptions!$B$10+($B$20-Assumptions!$B$10)*2/9</f>
        <v>0.021054904323057427</v>
      </c>
      <c r="E19" s="9">
        <f>Assumptions!$B$10+($B$20-Assumptions!$B$10)*3/9</f>
        <v>0.022689282905258217</v>
      </c>
      <c r="F19" s="9">
        <f>Assumptions!$B$10+($B$20-Assumptions!$B$10)*4/9</f>
        <v>0.024323661487459007</v>
      </c>
      <c r="G19" s="9">
        <f>Assumptions!$B$10+($B$20-Assumptions!$B$10)*5/9</f>
        <v>0.0259580400696598</v>
      </c>
      <c r="H19" s="9">
        <f>Assumptions!$B$10+($B$20-Assumptions!$B$10)*6/9</f>
        <v>0.027592418651860587</v>
      </c>
      <c r="I19" s="9">
        <f>Assumptions!$B$10+($B$20-Assumptions!$B$10)*7/9</f>
        <v>0.02922679723406138</v>
      </c>
      <c r="J19" s="9">
        <f>Assumptions!$B$10+($B$20-Assumptions!$B$10)*8/9</f>
        <v>0.030861175816262167</v>
      </c>
      <c r="K19" s="9">
        <f>Assumptions!$B$10+($B$20-Assumptions!$B$10)*9/9</f>
        <v>0.03249555439846296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0.03249555439846296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1225784747.7616994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1377042412.5948567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0.0891336326880914</v>
      </c>
    </row>
    <row r="7" spans="1:2" x14ac:dyDescent="0.25">
      <c r="A7" t="s">
        <v>66</v>
      </c>
      <c r="B7" s="18">
        <f>-MAX(B5,0)*B6</f>
        <v>-122740792.60015316</v>
      </c>
    </row>
    <row r="8" spans="1:2" x14ac:dyDescent="0.25">
      <c r="A8" t="s">
        <v>67</v>
      </c>
      <c r="B8" s="18">
        <f>IF(OR(Assumptions!$B$33=0,Assumptions!B12&lt;=0),B5,MAX(B5+B7,0))</f>
        <v>1254301619.9947035</v>
      </c>
    </row>
    <row r="9" spans="1:2" x14ac:dyDescent="0.25">
      <c r="A9" t="s">
        <v>68</v>
      </c>
      <c r="B9" s="18">
        <f>B8*(1+Assumptions!B12)/(Assumptions!B26-Assumptions!B12)</f>
        <v>22780498340.986034</v>
      </c>
    </row>
    <row r="10" spans="1:2" x14ac:dyDescent="0.25">
      <c r="A10" t="s">
        <v>69</v>
      </c>
      <c r="B10" s="18">
        <f>B9/(1+Assumptions!B26)^(10-0.5*Assumptions!B32)</f>
        <v>10828099296.525509</v>
      </c>
    </row>
    <row r="11" spans="1:2" x14ac:dyDescent="0.25">
      <c r="A11" t="s">
        <v>70</v>
      </c>
      <c r="B11" s="18">
        <f>Forecast!B17+B10</f>
        <v>18521594643.148914</v>
      </c>
    </row>
    <row r="12" spans="1:2" x14ac:dyDescent="0.25">
      <c r="A12" t="s">
        <v>71</v>
      </c>
      <c r="B12" s="18">
        <f>-Assumptions!B30</f>
        <v>-1625429000</v>
      </c>
    </row>
    <row r="13" spans="1:2" x14ac:dyDescent="0.25">
      <c r="A13" t="s">
        <v>72</v>
      </c>
      <c r="B13" s="18">
        <f>B11+B12</f>
        <v>16896165643.148914</v>
      </c>
    </row>
    <row r="14" spans="1:2" x14ac:dyDescent="0.25">
      <c r="A14" s="19" t="s">
        <v>73</v>
      </c>
      <c r="B14" s="24">
        <f>B13/Assumptions!B31</f>
        <v>223.47947415050479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1898653119.454409</v>
      </c>
    </row>
    <row r="18" spans="1:2" x14ac:dyDescent="0.25">
      <c r="A18" t="s">
        <v>68</v>
      </c>
      <c r="B18" s="18">
        <f>B17*Assumptions!B13</f>
        <v>22178157357.891144</v>
      </c>
    </row>
    <row r="19" spans="1:2" x14ac:dyDescent="0.25">
      <c r="A19" t="s">
        <v>69</v>
      </c>
      <c r="B19" s="18">
        <f>B18/(1+Assumptions!B26)^(10-0.5*Assumptions!B32)</f>
        <v>10541792654.866854</v>
      </c>
    </row>
    <row r="20" spans="1:2" x14ac:dyDescent="0.25">
      <c r="A20" t="s">
        <v>70</v>
      </c>
      <c r="B20" s="18">
        <f>Forecast!B17+B19</f>
        <v>18235288001.490257</v>
      </c>
    </row>
    <row r="21" spans="1:2" x14ac:dyDescent="0.25">
      <c r="A21" t="s">
        <v>71</v>
      </c>
      <c r="B21" s="18">
        <f>-Assumptions!B30</f>
        <v>-1625429000</v>
      </c>
    </row>
    <row r="22" spans="1:2" x14ac:dyDescent="0.25">
      <c r="A22" t="s">
        <v>72</v>
      </c>
      <c r="B22" s="18">
        <f>B20+B21</f>
        <v>16609859001.490257</v>
      </c>
    </row>
    <row r="23" spans="1:2" x14ac:dyDescent="0.25">
      <c r="A23" s="19" t="s">
        <v>73</v>
      </c>
      <c r="B23" s="25">
        <f>B22/Assumptions!B31</f>
        <v>219.6925997154984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228.79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223.47947415050479</v>
      </c>
    </row>
    <row r="29" spans="1:2" x14ac:dyDescent="0.25">
      <c r="A29" s="19" t="s">
        <v>81</v>
      </c>
      <c r="B29" s="11">
        <f>B28/B26-1</f>
        <v>-0.023211354733577494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0.061437</v>
      </c>
      <c r="B5" s="31">
        <v>305.2350578656629</v>
      </c>
      <c r="C5" s="31">
        <v>326.6803618080982</v>
      </c>
      <c r="D5" s="31">
        <v>354.23645547265306</v>
      </c>
      <c r="E5" s="31">
        <v>390.81907018966405</v>
      </c>
      <c r="F5" s="31">
        <v>441.549733204539</v>
      </c>
    </row>
    <row r="6" spans="1:6" x14ac:dyDescent="0.25">
      <c r="A6" s="30">
        <v>0.071437</v>
      </c>
      <c r="B6" s="31">
        <v>247.513317599791</v>
      </c>
      <c r="C6" s="31">
        <v>259.74387339692663</v>
      </c>
      <c r="D6" s="31">
        <v>274.7752104704697</v>
      </c>
      <c r="E6" s="31">
        <v>293.6211985297649</v>
      </c>
      <c r="F6" s="31">
        <v>317.85221287426845</v>
      </c>
    </row>
    <row r="7" spans="1:6" x14ac:dyDescent="0.25">
      <c r="A7" s="30">
        <v>0.081437</v>
      </c>
      <c r="B7" s="31">
        <v>207.2258983597495</v>
      </c>
      <c r="C7" s="31">
        <v>214.63128088296713</v>
      </c>
      <c r="D7" s="32">
        <v>223.47876561337634</v>
      </c>
      <c r="E7" s="31">
        <v>234.18889677221634</v>
      </c>
      <c r="F7" s="31">
        <v>247.36334321032717</v>
      </c>
    </row>
    <row r="8" spans="1:6" x14ac:dyDescent="0.25">
      <c r="A8" s="30">
        <v>0.091437</v>
      </c>
      <c r="B8" s="31">
        <v>177.52565764648313</v>
      </c>
      <c r="C8" s="31">
        <v>182.1746808929388</v>
      </c>
      <c r="D8" s="31">
        <v>187.62796742448168</v>
      </c>
      <c r="E8" s="31">
        <v>194.0818801702312</v>
      </c>
      <c r="F8" s="31">
        <v>201.80236865289578</v>
      </c>
    </row>
    <row r="9" spans="1:6" x14ac:dyDescent="0.25">
      <c r="A9" s="30">
        <v>0.101437</v>
      </c>
      <c r="B9" s="31">
        <v>154.73445744773343</v>
      </c>
      <c r="C9" s="31">
        <v>157.70950321523185</v>
      </c>
      <c r="D9" s="31">
        <v>161.15981642242073</v>
      </c>
      <c r="E9" s="31">
        <v>165.18519145589758</v>
      </c>
      <c r="F9" s="31">
        <v>169.91546451227438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6497226000</v>
      </c>
      <c r="C5" s="18">
        <v>6267411000</v>
      </c>
      <c r="D5" s="18">
        <v>5906956000</v>
      </c>
      <c r="E5" s="18">
        <v>5475846000</v>
      </c>
      <c r="F5" s="6" t="s">
        <v>91</v>
      </c>
    </row>
    <row r="6" spans="1:6" x14ac:dyDescent="0.25">
      <c r="A6" t="s">
        <v>51</v>
      </c>
      <c r="B6" s="18">
        <v>1175711000</v>
      </c>
      <c r="C6" s="18">
        <v>1157260000</v>
      </c>
      <c r="D6" s="18">
        <v>1111071000</v>
      </c>
      <c r="E6" s="18">
        <v>1109185000</v>
      </c>
      <c r="F6" s="6" t="s">
        <v>92</v>
      </c>
    </row>
    <row r="7" spans="1:6" x14ac:dyDescent="0.25">
      <c r="A7" t="s">
        <v>93</v>
      </c>
      <c r="B7" s="18">
        <v>200309000</v>
      </c>
      <c r="C7" s="18">
        <v>202315000</v>
      </c>
      <c r="D7" s="18">
        <v>191103000</v>
      </c>
      <c r="E7" s="18">
        <v>191946000</v>
      </c>
      <c r="F7" s="6" t="s">
        <v>94</v>
      </c>
    </row>
    <row r="8" spans="1:6" x14ac:dyDescent="0.25">
      <c r="A8" t="s">
        <v>95</v>
      </c>
      <c r="B8" s="18">
        <v>115142000</v>
      </c>
      <c r="C8" s="18">
        <v>101737000</v>
      </c>
      <c r="D8" s="18">
        <v>103124000</v>
      </c>
      <c r="E8" s="18">
        <v>108050000</v>
      </c>
      <c r="F8" s="6" t="s">
        <v>96</v>
      </c>
    </row>
    <row r="9" spans="1:6" x14ac:dyDescent="0.25">
      <c r="A9" t="s">
        <v>97</v>
      </c>
      <c r="B9" s="18">
        <v>18641000</v>
      </c>
      <c r="C9" s="18">
        <v>41183000</v>
      </c>
      <c r="D9" s="18">
        <v>-60571000</v>
      </c>
      <c r="E9" s="18">
        <v>34509000</v>
      </c>
      <c r="F9" s="6" t="s">
        <v>98</v>
      </c>
    </row>
    <row r="10" spans="1:6" x14ac:dyDescent="0.25">
      <c r="A10" t="s">
        <v>99</v>
      </c>
      <c r="B10" s="18">
        <v>3347950000</v>
      </c>
      <c r="C10" s="18">
        <v>2900006000</v>
      </c>
      <c r="D10" s="18">
        <v>3070195000</v>
      </c>
      <c r="E10" s="18">
        <v>3158391000</v>
      </c>
      <c r="F10" s="6" t="s">
        <v>100</v>
      </c>
    </row>
    <row r="11" spans="1:6" x14ac:dyDescent="0.25">
      <c r="A11" t="s">
        <v>101</v>
      </c>
      <c r="B11" s="18">
        <v>1722521000</v>
      </c>
      <c r="C11" s="18">
        <v>1933147000</v>
      </c>
      <c r="D11" s="18">
        <v>1318999000</v>
      </c>
      <c r="E11" s="18">
        <v>697999000</v>
      </c>
      <c r="F11" s="6" t="s">
        <v>102</v>
      </c>
    </row>
    <row r="12" spans="1:6" x14ac:dyDescent="0.25">
      <c r="A12" t="s">
        <v>34</v>
      </c>
      <c r="B12" s="34">
        <v>75605000</v>
      </c>
      <c r="C12" s="34">
        <v>78338000</v>
      </c>
      <c r="D12" s="34">
        <v>79680000</v>
      </c>
      <c r="E12" s="34">
        <v>81067000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