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<sst xmlns="http://schemas.openxmlformats.org/spreadsheetml/2006/main" count="123" uniqueCount="103">
  <si>
    <t>Intertek Group plc (ITRK.L)</t>
  </si>
  <si>
    <t>DCF Studio - Base case</t>
  </si>
  <si>
    <t>Blue figures on a cream fill are inputs. Every other figure is a formula - change an input and the model reprices. Currency figures are GBP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</si>
  <si>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</si>
  <si>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</si>
  <si>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</si>
  <si>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</si>
  <si>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</si>
  <si>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</si>
  <si>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</si>
  <si>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</si>
  <si>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</si>
  <si>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</si>
  <si>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</si>
  <si>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</si>
  <si>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</si>
  <si>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</si>
  <si>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</si>
  <si>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</si>
  <si>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</si>
  <si>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</si>
  <si>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</si>
  <si>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</si>
  <si>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(GBP m)</t>
  </si>
  <si>
    <t>Total debt (GBP m)</t>
  </si>
  <si>
    <t>Equity weight</t>
  </si>
  <si>
    <t>Debt weight</t>
  </si>
  <si>
    <t>WACC</t>
  </si>
  <si>
    <t>Base year</t>
  </si>
  <si>
    <t>Revenue, last reported year (GBP m)</t>
  </si>
  <si>
    <t>Fiscal year ended 2025-12-31</t>
  </si>
  <si>
    <t>Net debt (GBP m)</t>
  </si>
  <si>
    <t>Diluted shares</t>
  </si>
  <si>
    <t>Mid-year discounting (1 = yes, 0 = no)</t>
  </si>
  <si>
    <t>Terminal year on a steady-state footing (1 = yes, 0 = no)</t>
  </si>
  <si>
    <t>Forecast cashflows (GBP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</si>
  <si>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</si>
  <si>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</si>
  <si>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</si>
  <si>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</si>
  <si>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</si>
  <si>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</si>
  <si>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</si>
  <si>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</si>
  <si>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</si>
  <si>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</si>
  <si>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</si>
  <si>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</si>
  <si>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</si>
  <si>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</si>
  <si>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</si>
  <si>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</si>
  <si>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</si>
  <si>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(GBP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</si>
  <si>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</si>
  <si>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</si>
  <si>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</si>
  <si>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</si>
  <si>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</si>
  <si>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</si>
  <si>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</si>
  <si>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</si>
  <si>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</si>
  <si>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</si>
  <si>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</si>
  <si>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</si>
  <si>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</si>
  <si>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</si>
  <si>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</si>
  <si>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(GBp)</t>
  </si>
  <si>
    <t>Conversion, GBP to GBp</t>
  </si>
  <si>
    <t>then x100, because GBp is a sub-unit of GBP</t>
  </si>
  <si>
    <t>Value per share (GBp)</t>
  </si>
  <si>
    <t>Implied upside</t>
  </si>
  <si>
    <t>Value per share (GBP)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</si>
  <si>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</si>
  <si>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</si>
  <si>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(GBP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</si>
  <si>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</si>
  <si>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</si>
  <si>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</si>
  <si>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</si>
  <si>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</si>
  <si>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</si>
  <si>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</si>
  <si>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</si>
  <si>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</si>
  <si>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</si>
  <si>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</si>
  <si>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</si>
  <si>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</si>
  <si>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</si>
  <si>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</si>
  <si>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</si>
  <si>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</si>
  <si>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</si>
  <si>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</si>
  <si>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</si>
  <si>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</si>
  <si>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line has no market capitalisation, which means it is not ordinary shares - typically a hybrid, preference line, note or unlisted stub. A discounted cashflow values a claim on the whole business, so applying it here attributes all of the group’s revenue to a security that has no such claim. Its value is its coupon and call schedule. Look up the ordinary line instead.</t>
  </si>
  <si>
    <t>Note: Risk-free rate is an assumption: GBP assumption - no free live source available for this market.</t>
  </si>
  <si>
    <t>No usable EV/EBITDA (EBITDA is not positive), so the exit multiple falls back to 8x.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</si>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</sst>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0.024323447383994612</v>
      </c>
    </row>
    <row r="7" spans="1:2" x14ac:dyDescent="0.25">
      <c r="A7" t="s">
        <v>5</v>
      </c>
      <c r="B7" s="6">
        <v>0.15091455316307315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0.061667113266942734</v>
      </c>
    </row>
    <row r="10" spans="1:2" x14ac:dyDescent="0.25">
      <c r="A10" t="s">
        <v>8</v>
      </c>
      <c r="B10" s="6">
        <v>0.03837502794278306</v>
      </c>
    </row>
    <row r="11" spans="1:2" x14ac:dyDescent="0.25">
      <c r="A11" t="s">
        <v>9</v>
      </c>
      <c r="B11" s="6">
        <v>-0.07069219440353461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</v>
      </c>
    </row>
    <row r="14" spans="1:3" x14ac:dyDescent="0.25">
      <c r="A14" t="s">
        <v>12</v>
      </c>
      <c r="B14" s="6">
        <v>0.16606059083050387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0.97722</v>
      </c>
      <c r="C19" s="8" t="s">
        <v>19</v>
      </c>
    </row>
    <row r="20" spans="1:2" x14ac:dyDescent="0.25">
      <c r="A20" t="s">
        <v>20</v>
      </c>
      <c r="B20" s="10">
        <f>B17+B19*B18</f>
        <v>0.0987471</v>
      </c>
    </row>
    <row r="21" spans="1:3" x14ac:dyDescent="0.25">
      <c r="A21" t="s">
        <v>21</v>
      </c>
      <c r="B21" s="6">
        <v>0.045</v>
      </c>
      <c r="C21" s="8" t="s">
        <v>22</v>
      </c>
    </row>
    <row r="22" spans="1:2" x14ac:dyDescent="0.25">
      <c r="A22" t="s">
        <v>23</v>
      </c>
      <c r="B22" s="11">
        <v>0</v>
      </c>
    </row>
    <row r="23" spans="1:2" x14ac:dyDescent="0.25">
      <c r="A23" t="s">
        <v>24</v>
      </c>
      <c r="B23" s="11">
        <v>1648200000</v>
      </c>
    </row>
    <row r="24" spans="1:2" x14ac:dyDescent="0.25">
      <c r="A24" t="s">
        <v>25</v>
      </c>
      <c r="B24" s="10">
        <f>B22/(B22+B23)</f>
        <v>0</v>
      </c>
    </row>
    <row r="25" spans="1:2" x14ac:dyDescent="0.25">
      <c r="A25" t="s">
        <v>26</v>
      </c>
      <c r="B25" s="10">
        <f>1-B24</f>
        <v>1</v>
      </c>
    </row>
    <row r="26" spans="1:2" x14ac:dyDescent="0.25">
      <c r="A26" t="s">
        <v>27</v>
      </c>
      <c r="B26" s="12">
        <f>B24*B20+B25*B21*(1-B8)</f>
        <v>0.03375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3431600000</v>
      </c>
      <c r="C29" s="8" t="s">
        <v>30</v>
      </c>
    </row>
    <row r="30" spans="1:2" x14ac:dyDescent="0.25">
      <c r="A30" t="s">
        <v>31</v>
      </c>
      <c r="B30" s="11">
        <v>1319000000</v>
      </c>
    </row>
    <row r="31" spans="1:2" x14ac:dyDescent="0.25">
      <c r="A31" t="s">
        <v>32</v>
      </c>
      <c r="B31" s="13">
        <v>159000000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0.024323447383994612</v>
      </c>
      <c r="C5" s="10">
        <f>Assumptions!B6</f>
        <v>0.024323447383994612</v>
      </c>
      <c r="D5" s="10">
        <f>Assumptions!B6</f>
        <v>0.024323447383994612</v>
      </c>
      <c r="E5" s="10">
        <f>Assumptions!B6</f>
        <v>0.024323447383994612</v>
      </c>
      <c r="F5" s="10">
        <f>Assumptions!B6</f>
        <v>0.024323447383994612</v>
      </c>
    </row>
    <row r="6" spans="1:6" x14ac:dyDescent="0.25">
      <c r="A6" t="s">
        <v>43</v>
      </c>
      <c r="B6" s="18">
        <f>Assumptions!B29*(1+B5)</f>
        <v>3515068342.042916</v>
      </c>
      <c r="C6" s="18">
        <f>B6*(1+C5)</f>
        <v>3600566921.9117417</v>
      </c>
      <c r="D6" s="18">
        <f>C6*(1+D5)</f>
        <v>3688145121.9894133</v>
      </c>
      <c r="E6" s="18">
        <f>D6*(1+E5)</f>
        <v>3777853525.808659</v>
      </c>
      <c r="F6" s="18">
        <f>E6*(1+F5)</f>
        <v>3869743947.2681046</v>
      </c>
    </row>
    <row r="7" spans="1:6" x14ac:dyDescent="0.25">
      <c r="A7" t="s">
        <v>5</v>
      </c>
      <c r="B7" s="10">
        <f>Assumptions!B7</f>
        <v>0.15091455316307315</v>
      </c>
      <c r="C7" s="10">
        <f>Assumptions!B7</f>
        <v>0.15091455316307315</v>
      </c>
      <c r="D7" s="10">
        <f>Assumptions!B7</f>
        <v>0.15091455316307315</v>
      </c>
      <c r="E7" s="10">
        <f>Assumptions!B7</f>
        <v>0.15091455316307315</v>
      </c>
      <c r="F7" s="10">
        <f>Assumptions!B7</f>
        <v>0.15091455316307315</v>
      </c>
    </row>
    <row r="8" spans="1:6" x14ac:dyDescent="0.25">
      <c r="A8" t="s">
        <v>44</v>
      </c>
      <c r="B8" s="18">
        <f>B6*B7</f>
        <v>530474968.177071</v>
      </c>
      <c r="C8" s="18">
        <f>C6*C7</f>
        <v>543377948.1540521</v>
      </c>
      <c r="D8" s="18">
        <f>D6*D7</f>
        <v>556594773.0856003</v>
      </c>
      <c r="E8" s="18">
        <f>E6*E7</f>
        <v>570133076.7629542</v>
      </c>
      <c r="F8" s="18">
        <f>F6*F7</f>
        <v>584000678.6574728</v>
      </c>
    </row>
    <row r="9" spans="1:6" x14ac:dyDescent="0.25">
      <c r="A9" t="s">
        <v>45</v>
      </c>
      <c r="B9" s="18">
        <f>B8*(1-Assumptions!B8)</f>
        <v>397856226.1328032</v>
      </c>
      <c r="C9" s="18">
        <f>C8*(1-Assumptions!B8)</f>
        <v>407533461.1155391</v>
      </c>
      <c r="D9" s="18">
        <f>D8*(1-Assumptions!B8)</f>
        <v>417446079.81420016</v>
      </c>
      <c r="E9" s="18">
        <f>E8*(1-Assumptions!B8)</f>
        <v>427599807.5722157</v>
      </c>
      <c r="F9" s="18">
        <f>F8*(1-Assumptions!B8)</f>
        <v>438000508.99310464</v>
      </c>
    </row>
    <row r="10" spans="1:6" x14ac:dyDescent="0.25">
      <c r="A10" t="s">
        <v>46</v>
      </c>
      <c r="B10" s="18">
        <f>B6*Assumptions!B9</f>
        <v>216764117.5898051</v>
      </c>
      <c r="C10" s="18">
        <f>C6*Assumptions!B9</f>
        <v>222036568.19873872</v>
      </c>
      <c r="D10" s="18">
        <f>D6*Assumptions!B9</f>
        <v>227437262.98264349</v>
      </c>
      <c r="E10" s="18">
        <f>E6*Assumptions!B9</f>
        <v>232969321.28196156</v>
      </c>
      <c r="F10" s="18">
        <f>F6*Assumptions!B9</f>
        <v>238635938.3102483</v>
      </c>
    </row>
    <row r="11" spans="1:6" x14ac:dyDescent="0.25">
      <c r="A11" t="s">
        <v>47</v>
      </c>
      <c r="B11" s="18">
        <f>-B6*Assumptions!B10</f>
        <v>-134890845.84668902</v>
      </c>
      <c r="C11" s="18">
        <f>-C6*Assumptions!B10</f>
        <v>-138171856.23822346</v>
      </c>
      <c r="D11" s="18">
        <f>-D6*Assumptions!B10</f>
        <v>-141532672.11338276</v>
      </c>
      <c r="E11" s="18">
        <f>-E6*Assumptions!B10</f>
        <v>-144975234.6166488</v>
      </c>
      <c r="F11" s="18">
        <f>-F6*Assumptions!B10</f>
        <v>-148501532.10782912</v>
      </c>
    </row>
    <row r="12" spans="1:6" x14ac:dyDescent="0.25">
      <c r="A12" t="s">
        <v>48</v>
      </c>
      <c r="B12" s="18">
        <f>-(B6-Assumptions!B29)*Assumptions!B11</f>
        <v>5900560.262238527</v>
      </c>
      <c r="C12" s="18">
        <f>-(C6-B6)*Assumptions!B11</f>
        <v>6044082.2293131715</v>
      </c>
      <c r="D12" s="18">
        <f>-(D6-C6)*Assumptions!B11</f>
        <v>6191095.145402405</v>
      </c>
      <c r="E12" s="18">
        <f>-(E6-D6)*Assumptions!B11</f>
        <v>6341683.9224209115</v>
      </c>
      <c r="F12" s="18">
        <f>-(F6-E6)*Assumptions!B11</f>
        <v>6495935.537633848</v>
      </c>
    </row>
    <row r="13" spans="1:6" x14ac:dyDescent="0.25">
      <c r="A13" s="19" t="s">
        <v>49</v>
      </c>
      <c r="B13" s="20">
        <f>B9+B10+B11+B12</f>
        <v>485630058.13815784</v>
      </c>
      <c r="C13" s="20">
        <f>C9+C10+C11+C12</f>
        <v>497442255.3053675</v>
      </c>
      <c r="D13" s="20">
        <f>D9+D10+D11+D12</f>
        <v>509541765.8288633</v>
      </c>
      <c r="E13" s="20">
        <f>E9+E10+E11+E12</f>
        <v>521935578.15994936</v>
      </c>
      <c r="F13" s="20">
        <f>F9+F10+F11+F12</f>
        <v>534630850.7331577</v>
      </c>
    </row>
    <row r="14" spans="1:6" x14ac:dyDescent="0.25">
      <c r="A14" t="s">
        <v>50</v>
      </c>
      <c r="B14" s="21">
        <f>1/(1+Assumptions!$B$26)^(1-0.5*Assumptions!$B$32)</f>
        <v>0.9835404792098069</v>
      </c>
      <c r="C14" s="21">
        <f>1/(1+Assumptions!$B$26)^(2-0.5*Assumptions!$B$32)</f>
        <v>0.9514297259587007</v>
      </c>
      <c r="D14" s="21">
        <f>1/(1+Assumptions!$B$26)^(3-0.5*Assumptions!$B$32)</f>
        <v>0.9203673286178483</v>
      </c>
      <c r="E14" s="21">
        <f>1/(1+Assumptions!$B$26)^(4-0.5*Assumptions!$B$32)</f>
        <v>0.8903190603316551</v>
      </c>
      <c r="F14" s="21">
        <f>1/(1+Assumptions!$B$26)^(5-0.5*Assumptions!$B$32)</f>
        <v>0.8612518116872118</v>
      </c>
    </row>
    <row r="15" spans="1:6" x14ac:dyDescent="0.25">
      <c r="A15" s="19" t="s">
        <v>51</v>
      </c>
      <c r="B15" s="20">
        <f>B13*B14</f>
        <v>477636820.0998902</v>
      </c>
      <c r="C15" s="20">
        <f>C13*C14</f>
        <v>473281348.6454638</v>
      </c>
      <c r="D15" s="20">
        <f>D13*D14</f>
        <v>468965593.8351322</v>
      </c>
      <c r="E15" s="20">
        <f>E13*E14</f>
        <v>464689193.50102526</v>
      </c>
      <c r="F15" s="20">
        <f>F13*F14</f>
        <v>460451788.77780735</v>
      </c>
    </row>
    <row r="17" spans="1:2" x14ac:dyDescent="0.25">
      <c r="A17" s="22" t="s">
        <v>52</v>
      </c>
      <c r="B17" s="23">
        <f>SUM(B15:F15)</f>
        <v>2345024744.8593187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534630850.7331577</v>
      </c>
    </row>
    <row r="5" spans="1:2" x14ac:dyDescent="0.25">
      <c r="A5" t="s">
        <v>56</v>
      </c>
      <c r="B5" s="18">
        <f>IF(Assumptions!$B$33=0,B4,B4-Forecast!F11-Forecast!F10-Forecast!F12)</f>
        <v>483805656.185786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0.15054745906280204</v>
      </c>
    </row>
    <row r="7" spans="1:2" x14ac:dyDescent="0.25">
      <c r="A7" t="s">
        <v>58</v>
      </c>
      <c r="B7" s="18">
        <f>-MAX(Forecast!F9,0)*B6</f>
        <v>-72835712.2189817</v>
      </c>
    </row>
    <row r="8" spans="1:2" x14ac:dyDescent="0.25">
      <c r="A8" t="s">
        <v>59</v>
      </c>
      <c r="B8" s="18">
        <f>IF(OR(Assumptions!$B$33=0,Assumptions!B12&lt;=0),B5,MAX(B5+B7,0))</f>
        <v>410969943.9668043</v>
      </c>
    </row>
    <row r="9" spans="1:2" x14ac:dyDescent="0.25">
      <c r="A9" t="s">
        <v>60</v>
      </c>
      <c r="B9" s="18">
        <f>B8*(1+Assumptions!B12)/(Assumptions!B26-Assumptions!B12)</f>
        <v>48142193436.11136</v>
      </c>
    </row>
    <row r="10" spans="1:2" x14ac:dyDescent="0.25">
      <c r="A10" t="s">
        <v>61</v>
      </c>
      <c r="B10" s="18">
        <f>B9/(1+Assumptions!B26)^(5-0.5*Assumptions!B32)</f>
        <v>41462551315.447105</v>
      </c>
    </row>
    <row r="11" spans="1:2" x14ac:dyDescent="0.25">
      <c r="A11" t="s">
        <v>62</v>
      </c>
      <c r="B11" s="18">
        <f>Forecast!B17+B10</f>
        <v>43807576060.30643</v>
      </c>
    </row>
    <row r="12" spans="1:2" x14ac:dyDescent="0.25">
      <c r="A12" t="s">
        <v>63</v>
      </c>
      <c r="B12" s="18">
        <f>-Assumptions!B30</f>
        <v>-1319000000</v>
      </c>
    </row>
    <row r="13" spans="1:2" x14ac:dyDescent="0.25">
      <c r="A13" t="s">
        <v>64</v>
      </c>
      <c r="B13" s="18">
        <f>B11+B12</f>
        <v>42488576060.30643</v>
      </c>
    </row>
    <row r="14" spans="1:2" x14ac:dyDescent="0.25">
      <c r="A14" s="19" t="s">
        <v>65</v>
      </c>
      <c r="B14" s="24">
        <f>B13/Assumptions!B31</f>
        <v>267.22374880695867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822636616.9677211</v>
      </c>
    </row>
    <row r="18" spans="1:2" x14ac:dyDescent="0.25">
      <c r="A18" t="s">
        <v>60</v>
      </c>
      <c r="B18" s="18">
        <f>B17*Assumptions!B13</f>
        <v>6581092935.741769</v>
      </c>
    </row>
    <row r="19" spans="1:2" x14ac:dyDescent="0.25">
      <c r="A19" t="s">
        <v>61</v>
      </c>
      <c r="B19" s="18">
        <f>B18/(1+Assumptions!B26)^(5-0.5*Assumptions!B32)</f>
        <v>5667978213.78951</v>
      </c>
    </row>
    <row r="20" spans="1:2" x14ac:dyDescent="0.25">
      <c r="A20" t="s">
        <v>62</v>
      </c>
      <c r="B20" s="18">
        <f>Forecast!B17+B19</f>
        <v>8013002958.6488285</v>
      </c>
    </row>
    <row r="21" spans="1:2" x14ac:dyDescent="0.25">
      <c r="A21" t="s">
        <v>63</v>
      </c>
      <c r="B21" s="18">
        <f>-Assumptions!B30</f>
        <v>-1319000000</v>
      </c>
    </row>
    <row r="22" spans="1:2" x14ac:dyDescent="0.25">
      <c r="A22" t="s">
        <v>64</v>
      </c>
      <c r="B22" s="18">
        <f>B20+B21</f>
        <v>6694002958.6488285</v>
      </c>
    </row>
    <row r="23" spans="1:2" x14ac:dyDescent="0.25">
      <c r="A23" s="19" t="s">
        <v>65</v>
      </c>
      <c r="B23" s="25">
        <f>B22/Assumptions!B31</f>
        <v>42.10064753867188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5865</v>
      </c>
    </row>
    <row r="27" spans="1:3" x14ac:dyDescent="0.25">
      <c r="A27" t="s">
        <v>70</v>
      </c>
      <c r="B27" s="27">
        <v>100</v>
      </c>
      <c r="C27" s="8" t="s">
        <v>71</v>
      </c>
    </row>
    <row r="28" spans="1:2" x14ac:dyDescent="0.25">
      <c r="A28" t="s">
        <v>72</v>
      </c>
      <c r="B28" s="28">
        <f>B14*B27</f>
        <v>26722.37488069587</v>
      </c>
    </row>
    <row r="29" spans="1:2" x14ac:dyDescent="0.25">
      <c r="A29" s="19" t="s">
        <v>73</v>
      </c>
      <c r="B29" s="12">
        <f>B28/B26-1</f>
        <v>3.5562446514400454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0.01375</v>
      </c>
      <c r="B5" s="31" t="s">
        <v>76</v>
      </c>
      <c r="C5" s="31" t="s">
        <v>76</v>
      </c>
      <c r="D5" s="31" t="s">
        <v>76</v>
      </c>
      <c r="E5" s="31" t="s">
        <v>76</v>
      </c>
      <c r="F5" s="31" t="s">
        <v>76</v>
      </c>
    </row>
    <row r="6" spans="1:6" x14ac:dyDescent="0.25">
      <c r="A6" s="30">
        <v>0.02375</v>
      </c>
      <c r="B6" s="31">
        <v>295.7120303852697</v>
      </c>
      <c r="C6" s="31">
        <v>661.807405935396</v>
      </c>
      <c r="D6" s="31" t="s">
        <v>76</v>
      </c>
      <c r="E6" s="31" t="s">
        <v>76</v>
      </c>
      <c r="F6" s="31" t="s">
        <v>76</v>
      </c>
    </row>
    <row r="7" spans="1:6" x14ac:dyDescent="0.25">
      <c r="A7" s="30">
        <v>0.03375</v>
      </c>
      <c r="B7" s="31">
        <v>135.50159727115994</v>
      </c>
      <c r="C7" s="31">
        <v>177.44188385832706</v>
      </c>
      <c r="D7" s="32">
        <v>267.22374880695867</v>
      </c>
      <c r="E7" s="31">
        <v>596.213505562912</v>
      </c>
      <c r="F7" s="31" t="s">
        <v>76</v>
      </c>
    </row>
    <row r="8" spans="1:6" x14ac:dyDescent="0.25">
      <c r="A8" s="30">
        <v>0.04375</v>
      </c>
      <c r="B8" s="31">
        <v>86.70007926800973</v>
      </c>
      <c r="C8" s="31">
        <v>100.90271065880998</v>
      </c>
      <c r="D8" s="31">
        <v>122.63978002308036</v>
      </c>
      <c r="E8" s="31">
        <v>160.1306742409701</v>
      </c>
      <c r="F8" s="31">
        <v>240.38195020439824</v>
      </c>
    </row>
    <row r="9" spans="1:6" x14ac:dyDescent="0.25">
      <c r="A9" s="30">
        <v>0.05375</v>
      </c>
      <c r="B9" s="31">
        <v>63.05723737145792</v>
      </c>
      <c r="C9" s="31">
        <v>69.68007060767624</v>
      </c>
      <c r="D9" s="31">
        <v>78.58132006982525</v>
      </c>
      <c r="E9" s="31">
        <v>91.1999854795454</v>
      </c>
      <c r="F9" s="31">
        <v>110.50999959489364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3431600000</v>
      </c>
      <c r="C5" s="18">
        <v>3393200000</v>
      </c>
      <c r="D5" s="18">
        <v>3328700000</v>
      </c>
      <c r="E5" s="18">
        <v>3192900000</v>
      </c>
      <c r="F5" s="8" t="s">
        <v>85</v>
      </c>
    </row>
    <row r="6" spans="1:6" x14ac:dyDescent="0.25">
      <c r="A6" t="s">
        <v>44</v>
      </c>
      <c r="B6" s="18">
        <v>542300000</v>
      </c>
      <c r="C6" s="18">
        <v>535700000</v>
      </c>
      <c r="D6" s="18">
        <v>486200000</v>
      </c>
      <c r="E6" s="18">
        <v>452400000</v>
      </c>
      <c r="F6" s="8" t="s">
        <v>86</v>
      </c>
    </row>
    <row r="7" spans="1:6" x14ac:dyDescent="0.25">
      <c r="A7" t="s">
        <v>87</v>
      </c>
      <c r="B7" s="18">
        <v>202900000</v>
      </c>
      <c r="C7" s="18">
        <v>194000000</v>
      </c>
      <c r="D7" s="18">
        <v>209500000</v>
      </c>
      <c r="E7" s="18">
        <v>215300000</v>
      </c>
      <c r="F7" s="8" t="s">
        <v>88</v>
      </c>
    </row>
    <row r="8" spans="1:6" x14ac:dyDescent="0.25">
      <c r="A8" t="s">
        <v>89</v>
      </c>
      <c r="B8" s="18">
        <v>144500000</v>
      </c>
      <c r="C8" s="18">
        <v>135000000</v>
      </c>
      <c r="D8" s="18">
        <v>116900000</v>
      </c>
      <c r="E8" s="18">
        <v>116500000</v>
      </c>
      <c r="F8" s="8" t="s">
        <v>90</v>
      </c>
    </row>
    <row r="9" spans="1:6" x14ac:dyDescent="0.25">
      <c r="A9" t="s">
        <v>91</v>
      </c>
      <c r="B9" s="18">
        <v>32000000</v>
      </c>
      <c r="C9" s="18">
        <v>-18700000</v>
      </c>
      <c r="D9" s="18">
        <v>-9600000</v>
      </c>
      <c r="E9" s="18">
        <v>-6000000</v>
      </c>
      <c r="F9" s="8" t="s">
        <v>92</v>
      </c>
    </row>
    <row r="10" spans="1:6" x14ac:dyDescent="0.25">
      <c r="A10" t="s">
        <v>93</v>
      </c>
      <c r="B10" s="18">
        <v>1648200000</v>
      </c>
      <c r="C10" s="18">
        <v>1142400000</v>
      </c>
      <c r="D10" s="18">
        <v>1217700000</v>
      </c>
      <c r="E10" s="18">
        <v>1380800000</v>
      </c>
      <c r="F10" s="8" t="s">
        <v>94</v>
      </c>
    </row>
    <row r="11" spans="1:6" x14ac:dyDescent="0.25">
      <c r="A11" t="s">
        <v>95</v>
      </c>
      <c r="B11" s="18">
        <v>329200000</v>
      </c>
      <c r="C11" s="18">
        <v>343000000</v>
      </c>
      <c r="D11" s="18">
        <v>299300000</v>
      </c>
      <c r="E11" s="18">
        <v>321600000</v>
      </c>
      <c r="F11" s="8" t="s">
        <v>96</v>
      </c>
    </row>
    <row r="12" spans="1:6" x14ac:dyDescent="0.25">
      <c r="A12" t="s">
        <v>32</v>
      </c>
      <c r="B12" s="34">
        <v>159000000</v>
      </c>
      <c r="C12" s="34">
        <v>162400000</v>
      </c>
      <c r="D12" s="34">
        <v>162200000</v>
      </c>
      <c r="E12" s="34">
        <v>161900000</v>
      </c>
      <c r="F12" s="8" t="s">
        <v>97</v>
      </c>
    </row>
    <row r="15" spans="1:1" x14ac:dyDescent="0.25">
      <c r="A15" s="19" t="s">
        <v>98</v>
      </c>
    </row>
    <row r="16" ht="54" customHeight="1" spans="1:6" x14ac:dyDescent="0.25">
      <c r="A16" s="35" t="s">
        <v>99</v>
      </c>
      <c r="B16" s="35"/>
      <c r="C16" s="35"/>
      <c r="D16" s="35"/>
      <c r="E16" s="35"/>
      <c r="F16" s="35"/>
    </row>
    <row r="17" ht="22" customHeight="1" spans="1:6" x14ac:dyDescent="0.25">
      <c r="A17" s="35" t="s">
        <v>100</v>
      </c>
      <c r="B17" s="35"/>
      <c r="C17" s="35"/>
      <c r="D17" s="35"/>
      <c r="E17" s="35"/>
      <c r="F17" s="35"/>
    </row>
    <row r="18" ht="22" customHeight="1" spans="1:6" x14ac:dyDescent="0.25">
      <c r="A18" s="35" t="s">
        <v>101</v>
      </c>
      <c r="B18" s="35"/>
      <c r="C18" s="35"/>
      <c r="D18" s="35"/>
      <c r="E18" s="35"/>
      <c r="F18" s="35"/>
    </row>
    <row r="20" spans="1:1" x14ac:dyDescent="0.25">
      <c r="A20" s="36" t="s">
        <v>102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2026-09-19T01:58:57Z</dcterms:modified>
</cp:coreProperties>
</file>