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<sst xmlns="http://schemas.openxmlformats.org/spreadsheetml/2006/main" count="119" uniqueCount="106">
  <si>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Illinois Tool Works Inc. (ITW)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</si>
  <si>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</si>
  <si>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</si>
  <si>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</si>
  <si>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</si>
  <si>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</si>
  <si>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</si>
  <si>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</si>
  <si>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</si>
  <si>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</si>
  <si>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</si>
  <si>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</si>
  <si>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</si>
  <si>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</si>
  <si>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</si>
  <si>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</si>
  <si>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</si>
  <si>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</si>
  <si>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</si>
  <si>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</si>
  <si>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</si>
  <si>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</si>
  <si>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</si>
  <si>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</si>
  <si>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14.4x interest cover. Book interest / average debt was lower, at 3.4%.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</si>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</sst>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0.0494613812016953</v>
      </c>
    </row>
    <row r="7" spans="1:2" x14ac:dyDescent="0.25">
      <c r="A7" t="s">
        <v>4</v>
      </c>
      <c r="B7" s="5">
        <v>0.25492395980984345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0.025072130613431068</v>
      </c>
    </row>
    <row r="10" spans="1:3" x14ac:dyDescent="0.25">
      <c r="A10" t="s">
        <v>7</v>
      </c>
      <c r="B10" s="5">
        <v>0.026927977086548607</v>
      </c>
      <c r="C10" s="6" t="s">
        <v>8</v>
      </c>
    </row>
    <row r="11" spans="1:2" x14ac:dyDescent="0.25">
      <c r="A11" t="s">
        <v>9</v>
      </c>
      <c r="B11" s="5">
        <v>0.2679001715295974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18.973316300888794</v>
      </c>
    </row>
    <row r="14" spans="1:3" x14ac:dyDescent="0.25">
      <c r="A14" t="s">
        <v>12</v>
      </c>
      <c r="B14" s="5">
        <v>0.28075236032133577</v>
      </c>
      <c r="C14" s="6" t="s">
        <v>13</v>
      </c>
    </row>
    <row r="15" spans="1:3" x14ac:dyDescent="0.25">
      <c r="A15" t="s">
        <v>14</v>
      </c>
      <c r="B15" s="5">
        <v>0.018380726352913535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0.98325</v>
      </c>
      <c r="C19" s="6" t="s">
        <v>21</v>
      </c>
    </row>
    <row r="20" spans="1:2" x14ac:dyDescent="0.25">
      <c r="A20" t="s">
        <v>22</v>
      </c>
      <c r="B20" s="9">
        <f>B17+B19*B18</f>
        <v>0.090531475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79163908096</v>
      </c>
    </row>
    <row r="23" spans="1:2" x14ac:dyDescent="0.25">
      <c r="A23" t="s">
        <v>26</v>
      </c>
      <c r="B23" s="10">
        <v>9211000000</v>
      </c>
    </row>
    <row r="24" spans="1:2" x14ac:dyDescent="0.25">
      <c r="A24" t="s">
        <v>27</v>
      </c>
      <c r="B24" s="9">
        <f>B22/(B22+B23)</f>
        <v>0.8957735832664826</v>
      </c>
    </row>
    <row r="25" spans="1:2" x14ac:dyDescent="0.25">
      <c r="A25" t="s">
        <v>28</v>
      </c>
      <c r="B25" s="9">
        <f>1-B24</f>
        <v>0.1042264167335174</v>
      </c>
    </row>
    <row r="26" spans="1:2" x14ac:dyDescent="0.25">
      <c r="A26" t="s">
        <v>29</v>
      </c>
      <c r="B26" s="11">
        <f>B24*B20+B25*B21*(1-B8)</f>
        <v>0.08545472349562919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16044000000</v>
      </c>
      <c r="C29" s="6" t="s">
        <v>32</v>
      </c>
    </row>
    <row r="30" spans="1:2" x14ac:dyDescent="0.25">
      <c r="A30" t="s">
        <v>33</v>
      </c>
      <c r="B30" s="10">
        <v>8360000000</v>
      </c>
    </row>
    <row r="31" spans="1:2" x14ac:dyDescent="0.25">
      <c r="A31" t="s">
        <v>34</v>
      </c>
      <c r="B31" s="12">
        <v>292300000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0.0494613812016953</v>
      </c>
      <c r="C5" s="5">
        <v>0.03623568189079007</v>
      </c>
      <c r="D5" s="5">
        <v>0.034831221654441316</v>
      </c>
      <c r="E5" s="5">
        <v>0.03342676141809255</v>
      </c>
      <c r="F5" s="5">
        <v>0.0320223011817438</v>
      </c>
      <c r="G5" s="5">
        <v>0.030617840945395037</v>
      </c>
      <c r="H5" s="5">
        <v>0.029213380709046277</v>
      </c>
      <c r="I5" s="5">
        <v>0.02780892047269752</v>
      </c>
      <c r="J5" s="5">
        <v>0.02640446023634876</v>
      </c>
      <c r="K5" s="5">
        <v>0.025</v>
      </c>
    </row>
    <row r="6" spans="1:11" x14ac:dyDescent="0.25">
      <c r="A6" t="s">
        <v>50</v>
      </c>
      <c r="B6" s="18">
        <f>Assumptions!B29*(1+B5)</f>
        <v>16837558400</v>
      </c>
      <c r="C6" s="18">
        <f>B6*(1+C5)</f>
        <v>17447678810</v>
      </c>
      <c r="D6" s="18">
        <f>C6*(1+D5)</f>
        <v>18055402777.98661</v>
      </c>
      <c r="E6" s="18">
        <f>D6*(1+E5)</f>
        <v>18658936418.953934</v>
      </c>
      <c r="F6" s="18">
        <f>E6*(1+F5)</f>
        <v>19256438500.692684</v>
      </c>
      <c r="G6" s="18">
        <f>F6*(1+G5)</f>
        <v>19846029071.88167</v>
      </c>
      <c r="H6" s="18">
        <f>G6*(1+H5)</f>
        <v>20425798674.72135</v>
      </c>
      <c r="I6" s="18">
        <f>H6*(1+I5)</f>
        <v>20993818085.65801</v>
      </c>
      <c r="J6" s="18">
        <f>I6*(1+J5)</f>
        <v>21548148520.509903</v>
      </c>
      <c r="K6" s="18">
        <f>J6*(1+K5)</f>
        <v>22086852233.522648</v>
      </c>
    </row>
    <row r="7" spans="1:11" x14ac:dyDescent="0.25">
      <c r="A7" t="s">
        <v>4</v>
      </c>
      <c r="B7" s="9">
        <f>Assumptions!B7</f>
        <v>0.25492395980984345</v>
      </c>
      <c r="C7" s="9">
        <f>Assumptions!B7</f>
        <v>0.25492395980984345</v>
      </c>
      <c r="D7" s="9">
        <f>Assumptions!B7</f>
        <v>0.25492395980984345</v>
      </c>
      <c r="E7" s="9">
        <f>Assumptions!B7</f>
        <v>0.25492395980984345</v>
      </c>
      <c r="F7" s="9">
        <f>Assumptions!B7</f>
        <v>0.25492395980984345</v>
      </c>
      <c r="G7" s="9">
        <f>Assumptions!B7</f>
        <v>0.25492395980984345</v>
      </c>
      <c r="H7" s="9">
        <f>Assumptions!B7</f>
        <v>0.25492395980984345</v>
      </c>
      <c r="I7" s="9">
        <f>Assumptions!B7</f>
        <v>0.25492395980984345</v>
      </c>
      <c r="J7" s="9">
        <f>Assumptions!B7</f>
        <v>0.25492395980984345</v>
      </c>
      <c r="K7" s="9">
        <f>Assumptions!B7</f>
        <v>0.25492395980984345</v>
      </c>
    </row>
    <row r="8" spans="1:11" x14ac:dyDescent="0.25">
      <c r="A8" t="s">
        <v>51</v>
      </c>
      <c r="B8" s="18">
        <f>B6*B7</f>
        <v>4292297060.857492</v>
      </c>
      <c r="C8" s="18">
        <f>C6*C7</f>
        <v>4447831371.735497</v>
      </c>
      <c r="D8" s="18">
        <f>D6*D7</f>
        <v>4602754772.125995</v>
      </c>
      <c r="E8" s="18">
        <f>E6*E7</f>
        <v>4756609957.759837</v>
      </c>
      <c r="F8" s="18">
        <f>F6*F7</f>
        <v>4908927554.431304</v>
      </c>
      <c r="G8" s="18">
        <f>G6*G7</f>
        <v>5059228317.505348</v>
      </c>
      <c r="H8" s="18">
        <f>H6*H7</f>
        <v>5207025480.43862</v>
      </c>
      <c r="I8" s="18">
        <f>I6*I7</f>
        <v>5351827237.923447</v>
      </c>
      <c r="J8" s="18">
        <f>J6*J7</f>
        <v>5493139347.419004</v>
      </c>
      <c r="K8" s="18">
        <f>K6*K7</f>
        <v>5630467831.104479</v>
      </c>
    </row>
    <row r="9" spans="1:11" x14ac:dyDescent="0.25">
      <c r="A9" t="s">
        <v>52</v>
      </c>
      <c r="B9" s="18">
        <f>B8*(1-Assumptions!B8)</f>
        <v>3390914678.077419</v>
      </c>
      <c r="C9" s="18">
        <f>C8*(1-Assumptions!B8)</f>
        <v>3513786783.6710434</v>
      </c>
      <c r="D9" s="18">
        <f>D8*(1-Assumptions!B8)</f>
        <v>3636176269.979536</v>
      </c>
      <c r="E9" s="18">
        <f>E8*(1-Assumptions!B8)</f>
        <v>3757721866.6302714</v>
      </c>
      <c r="F9" s="18">
        <f>F8*(1-Assumptions!B8)</f>
        <v>3878052768.0007305</v>
      </c>
      <c r="G9" s="18">
        <f>G8*(1-Assumptions!B8)</f>
        <v>3996790370.829225</v>
      </c>
      <c r="H9" s="18">
        <f>H8*(1-Assumptions!B8)</f>
        <v>4113550129.5465097</v>
      </c>
      <c r="I9" s="18">
        <f>I8*(1-Assumptions!B8)</f>
        <v>4227943517.959523</v>
      </c>
      <c r="J9" s="18">
        <f>J8*(1-Assumptions!B8)</f>
        <v>4339580084.461014</v>
      </c>
      <c r="K9" s="18">
        <f>K8*(1-Assumptions!B8)</f>
        <v>4448069586.572538</v>
      </c>
    </row>
    <row r="10" spans="1:11" x14ac:dyDescent="0.25">
      <c r="A10" t="s">
        <v>53</v>
      </c>
      <c r="B10" s="18">
        <f>B6*Assumptions!B9</f>
        <v>422153463.41607344</v>
      </c>
      <c r="C10" s="18">
        <f>C6*Assumptions!B9</f>
        <v>437450482.0255135</v>
      </c>
      <c r="D10" s="18">
        <f>D6*Assumptions!B9</f>
        <v>452687416.7277864</v>
      </c>
      <c r="E10" s="18">
        <f>E6*Assumptions!B9</f>
        <v>467819291.0037188</v>
      </c>
      <c r="F10" s="18">
        <f>F6*Assumptions!B9</f>
        <v>482799941.2388697</v>
      </c>
      <c r="G10" s="18">
        <f>G6*Assumptions!B9</f>
        <v>497582233.0481674</v>
      </c>
      <c r="H10" s="18">
        <f>H6*Assumptions!B9</f>
        <v>512118292.25626093</v>
      </c>
      <c r="I10" s="18">
        <f>I6*Assumptions!B9</f>
        <v>526359749.118229</v>
      </c>
      <c r="J10" s="18">
        <f>J6*Assumptions!B9</f>
        <v>540257994.1838357</v>
      </c>
      <c r="K10" s="18">
        <f>K6*Assumptions!B9</f>
        <v>553764444.0384315</v>
      </c>
    </row>
    <row r="11" spans="1:11" x14ac:dyDescent="0.25">
      <c r="A11" t="s">
        <v>54</v>
      </c>
      <c r="B11" s="18">
        <f>-B6*B19</f>
        <v>-453401386.78862405</v>
      </c>
      <c r="C11" s="18">
        <f>-C6*C19</f>
        <v>-488938859.67214435</v>
      </c>
      <c r="D11" s="18">
        <f>-D6*D19</f>
        <v>-525742922.64367974</v>
      </c>
      <c r="E11" s="18">
        <f>-E6*E19</f>
        <v>-563751502.6547316</v>
      </c>
      <c r="F11" s="18">
        <f>-F6*F19</f>
        <v>-602893185.8474745</v>
      </c>
      <c r="G11" s="18">
        <f>-G6*G19</f>
        <v>-643087237.8718668</v>
      </c>
      <c r="H11" s="18">
        <f>-H6*H19</f>
        <v>-684243700.4796658</v>
      </c>
      <c r="I11" s="18">
        <f>-I6*I19</f>
        <v>-726263566.9236624</v>
      </c>
      <c r="J11" s="18">
        <f>-J6*J19</f>
        <v>-769039037.9375741</v>
      </c>
      <c r="K11" s="18">
        <f>-K6*K19</f>
        <v>-812453859.2644796</v>
      </c>
    </row>
    <row r="12" spans="1:11" x14ac:dyDescent="0.25">
      <c r="A12" t="s">
        <v>55</v>
      </c>
      <c r="B12" s="18">
        <f>-(B6-Assumptions!B29)*Assumptions!B11</f>
        <v>-212594431.47875285</v>
      </c>
      <c r="C12" s="18">
        <f>-(C6-B6)*Assumptions!B11</f>
        <v>-163451362.4927083</v>
      </c>
      <c r="D12" s="18">
        <f>-(D6-C6)*Assumptions!B11</f>
        <v>-162809355.26626047</v>
      </c>
      <c r="E12" s="18">
        <f>-(E6-D6)*Assumptions!B11</f>
        <v>-161686765.93902835</v>
      </c>
      <c r="F12" s="18">
        <f>-(F6-E6)*Assumptions!B11</f>
        <v>-160070910.18710276</v>
      </c>
      <c r="G12" s="18">
        <f>-(G6-F6)*Assumptions!B11</f>
        <v>-157951415.15376312</v>
      </c>
      <c r="H12" s="18">
        <f>-(H6-G6)*Assumptions!B11</f>
        <v>-155320376.04839674</v>
      </c>
      <c r="I12" s="18">
        <f>-(I6-H6)*Assumptions!B11</f>
        <v>-152172497.62207127</v>
      </c>
      <c r="J12" s="18">
        <f>-(J6-I6)*Assumptions!B11</f>
        <v>-148505218.58089882</v>
      </c>
      <c r="K12" s="18">
        <f>-(K6-J6)*Assumptions!B11</f>
        <v>-144318817.11974537</v>
      </c>
    </row>
    <row r="13" spans="1:11" x14ac:dyDescent="0.25">
      <c r="A13" s="19" t="s">
        <v>56</v>
      </c>
      <c r="B13" s="20">
        <f>B9+B10+B11+B12</f>
        <v>3147072323.226115</v>
      </c>
      <c r="C13" s="20">
        <f>C9+C10+C11+C12</f>
        <v>3298847043.5317044</v>
      </c>
      <c r="D13" s="20">
        <f>D9+D10+D11+D12</f>
        <v>3400311408.7973824</v>
      </c>
      <c r="E13" s="20">
        <f>E9+E10+E11+E12</f>
        <v>3500102889.0402303</v>
      </c>
      <c r="F13" s="20">
        <f>F9+F10+F11+F12</f>
        <v>3597888613.205023</v>
      </c>
      <c r="G13" s="20">
        <f>G9+G10+G11+G12</f>
        <v>3693333950.851763</v>
      </c>
      <c r="H13" s="20">
        <f>H9+H10+H11+H12</f>
        <v>3786104345.2747083</v>
      </c>
      <c r="I13" s="20">
        <f>I9+I10+I11+I12</f>
        <v>3875867202.5320187</v>
      </c>
      <c r="J13" s="20">
        <f>J9+J10+J11+J12</f>
        <v>3962293822.1263766</v>
      </c>
      <c r="K13" s="20">
        <f>K9+K10+K11+K12</f>
        <v>4045061354.2267447</v>
      </c>
    </row>
    <row r="14" spans="1:11" x14ac:dyDescent="0.25">
      <c r="A14" t="s">
        <v>57</v>
      </c>
      <c r="B14" s="21">
        <f>1/(1+Assumptions!$B$26)^(1-0.5*Assumptions!$B$32)</f>
        <v>0.9598296102509647</v>
      </c>
      <c r="C14" s="21">
        <f>1/(1+Assumptions!$B$26)^(2-0.5*Assumptions!$B$32)</f>
        <v>0.8842649900310005</v>
      </c>
      <c r="D14" s="21">
        <f>1/(1+Assumptions!$B$26)^(3-0.5*Assumptions!$B$32)</f>
        <v>0.8146493546808553</v>
      </c>
      <c r="E14" s="21">
        <f>1/(1+Assumptions!$B$26)^(4-0.5*Assumptions!$B$32)</f>
        <v>0.7505143577590556</v>
      </c>
      <c r="F14" s="21">
        <f>1/(1+Assumptions!$B$26)^(5-0.5*Assumptions!$B$32)</f>
        <v>0.6914285243902922</v>
      </c>
      <c r="G14" s="21">
        <f>1/(1+Assumptions!$B$26)^(6-0.5*Assumptions!$B$32)</f>
        <v>0.6369943484732337</v>
      </c>
      <c r="H14" s="21">
        <f>1/(1+Assumptions!$B$26)^(7-0.5*Assumptions!$B$32)</f>
        <v>0.5868456184168042</v>
      </c>
      <c r="I14" s="21">
        <f>1/(1+Assumptions!$B$26)^(8-0.5*Assumptions!$B$32)</f>
        <v>0.5406449534135427</v>
      </c>
      <c r="J14" s="21">
        <f>1/(1+Assumptions!$B$26)^(9-0.5*Assumptions!$B$32)</f>
        <v>0.49808153367506147</v>
      </c>
      <c r="K14" s="21">
        <f>1/(1+Assumptions!$B$26)^(10-0.5*Assumptions!$B$32)</f>
        <v>0.45886900935952957</v>
      </c>
    </row>
    <row r="15" spans="1:11" x14ac:dyDescent="0.25">
      <c r="A15" s="19" t="s">
        <v>58</v>
      </c>
      <c r="B15" s="20">
        <f>B13*B14</f>
        <v>3020653201.43372</v>
      </c>
      <c r="C15" s="20">
        <f>C13*C14</f>
        <v>2917054948.062358</v>
      </c>
      <c r="D15" s="20">
        <f>D13*D14</f>
        <v>2770061494.8907375</v>
      </c>
      <c r="E15" s="20">
        <f>E13*E14</f>
        <v>2626877471.8586435</v>
      </c>
      <c r="F15" s="20">
        <f>F13*F14</f>
        <v>2487682814.748984</v>
      </c>
      <c r="G15" s="20">
        <f>G13*G14</f>
        <v>2352632853.7168927</v>
      </c>
      <c r="H15" s="20">
        <f>H13*H14</f>
        <v>2221858745.8932858</v>
      </c>
      <c r="I15" s="20">
        <f>I13*I14</f>
        <v>2095468043.1500013</v>
      </c>
      <c r="J15" s="20">
        <f>J13*J14</f>
        <v>1973545383.7959268</v>
      </c>
      <c r="K15" s="20">
        <f>K13*K14</f>
        <v>1856153296.4125435</v>
      </c>
    </row>
    <row r="17" spans="1:2" x14ac:dyDescent="0.25">
      <c r="A17" s="22" t="s">
        <v>59</v>
      </c>
      <c r="B17" s="23">
        <f>SUM(B15:K15)</f>
        <v>24321988253.963093</v>
      </c>
    </row>
    <row r="19" spans="1:11" x14ac:dyDescent="0.25">
      <c r="A19" t="s">
        <v>7</v>
      </c>
      <c r="B19" s="9">
        <f>Assumptions!$B$10+($B$20-Assumptions!$B$10)*0/9</f>
        <v>0.026927977086548607</v>
      </c>
      <c r="C19" s="9">
        <f>Assumptions!$B$10+($B$20-Assumptions!$B$10)*1/9</f>
        <v>0.028023146516882973</v>
      </c>
      <c r="D19" s="9">
        <f>Assumptions!$B$10+($B$20-Assumptions!$B$10)*2/9</f>
        <v>0.029118315947217338</v>
      </c>
      <c r="E19" s="9">
        <f>Assumptions!$B$10+($B$20-Assumptions!$B$10)*3/9</f>
        <v>0.030213485377551707</v>
      </c>
      <c r="F19" s="9">
        <f>Assumptions!$B$10+($B$20-Assumptions!$B$10)*4/9</f>
        <v>0.03130865480788607</v>
      </c>
      <c r="G19" s="9">
        <f>Assumptions!$B$10+($B$20-Assumptions!$B$10)*5/9</f>
        <v>0.03240382423822044</v>
      </c>
      <c r="H19" s="9">
        <f>Assumptions!$B$10+($B$20-Assumptions!$B$10)*6/9</f>
        <v>0.033498993668554806</v>
      </c>
      <c r="I19" s="9">
        <f>Assumptions!$B$10+($B$20-Assumptions!$B$10)*7/9</f>
        <v>0.03459416309888917</v>
      </c>
      <c r="J19" s="9">
        <f>Assumptions!$B$10+($B$20-Assumptions!$B$10)*8/9</f>
        <v>0.03568933252922354</v>
      </c>
      <c r="K19" s="9">
        <f>Assumptions!$B$10+($B$20-Assumptions!$B$10)*9/9</f>
        <v>0.0367845019595579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0.0367845019595579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4045061354.2267447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4564825311.710622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0.08904644638209343</v>
      </c>
    </row>
    <row r="7" spans="1:2" x14ac:dyDescent="0.25">
      <c r="A7" t="s">
        <v>66</v>
      </c>
      <c r="B7" s="18">
        <f>-MAX(B5,0)*B6</f>
        <v>-406481472.3628628</v>
      </c>
    </row>
    <row r="8" spans="1:2" x14ac:dyDescent="0.25">
      <c r="A8" t="s">
        <v>67</v>
      </c>
      <c r="B8" s="18">
        <f>IF(OR(Assumptions!$B$33=0,Assumptions!B12&lt;=0),B5,MAX(B5+B7,0))</f>
        <v>4158343839.3477592</v>
      </c>
    </row>
    <row r="9" spans="1:2" x14ac:dyDescent="0.25">
      <c r="A9" t="s">
        <v>68</v>
      </c>
      <c r="B9" s="18">
        <f>B8*(1+Assumptions!B12)/(Assumptions!B26-Assumptions!B12)</f>
        <v>70504043172.73262</v>
      </c>
    </row>
    <row r="10" spans="1:2" x14ac:dyDescent="0.25">
      <c r="A10" t="s">
        <v>69</v>
      </c>
      <c r="B10" s="18">
        <f>B9/(1+Assumptions!B26)^(10-0.5*Assumptions!B32)</f>
        <v>32352120446.51332</v>
      </c>
    </row>
    <row r="11" spans="1:2" x14ac:dyDescent="0.25">
      <c r="A11" t="s">
        <v>70</v>
      </c>
      <c r="B11" s="18">
        <f>Forecast!B17+B10</f>
        <v>56674108700.47641</v>
      </c>
    </row>
    <row r="12" spans="1:2" x14ac:dyDescent="0.25">
      <c r="A12" t="s">
        <v>71</v>
      </c>
      <c r="B12" s="18">
        <f>-Assumptions!B30</f>
        <v>-8360000000</v>
      </c>
    </row>
    <row r="13" spans="1:2" x14ac:dyDescent="0.25">
      <c r="A13" t="s">
        <v>72</v>
      </c>
      <c r="B13" s="18">
        <f>B11+B12</f>
        <v>48314108700.47641</v>
      </c>
    </row>
    <row r="14" spans="1:2" x14ac:dyDescent="0.25">
      <c r="A14" s="19" t="s">
        <v>73</v>
      </c>
      <c r="B14" s="24">
        <f>B13/Assumptions!B31</f>
        <v>165.28945843474654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6184232275.14291</v>
      </c>
    </row>
    <row r="18" spans="1:2" x14ac:dyDescent="0.25">
      <c r="A18" t="s">
        <v>68</v>
      </c>
      <c r="B18" s="18">
        <f>B17*Assumptions!B13</f>
        <v>117335395034.45157</v>
      </c>
    </row>
    <row r="19" spans="1:2" x14ac:dyDescent="0.25">
      <c r="A19" t="s">
        <v>69</v>
      </c>
      <c r="B19" s="18">
        <f>B18/(1+Assumptions!B26)^(10-0.5*Assumptions!B32)</f>
        <v>53841576482.26785</v>
      </c>
    </row>
    <row r="20" spans="1:2" x14ac:dyDescent="0.25">
      <c r="A20" t="s">
        <v>70</v>
      </c>
      <c r="B20" s="18">
        <f>Forecast!B17+B19</f>
        <v>78163564736.23094</v>
      </c>
    </row>
    <row r="21" spans="1:2" x14ac:dyDescent="0.25">
      <c r="A21" t="s">
        <v>71</v>
      </c>
      <c r="B21" s="18">
        <f>-Assumptions!B30</f>
        <v>-8360000000</v>
      </c>
    </row>
    <row r="22" spans="1:2" x14ac:dyDescent="0.25">
      <c r="A22" t="s">
        <v>72</v>
      </c>
      <c r="B22" s="18">
        <f>B20+B21</f>
        <v>69803564736.23094</v>
      </c>
    </row>
    <row r="23" spans="1:2" x14ac:dyDescent="0.25">
      <c r="A23" s="19" t="s">
        <v>73</v>
      </c>
      <c r="B23" s="25">
        <f>B22/Assumptions!B31</f>
        <v>238.80795325429676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278.55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165.28945843474654</v>
      </c>
    </row>
    <row r="29" spans="1:2" x14ac:dyDescent="0.25">
      <c r="A29" s="19" t="s">
        <v>81</v>
      </c>
      <c r="B29" s="11">
        <f>B28/B26-1</f>
        <v>-0.40660758056095303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0.065455</v>
      </c>
      <c r="B5" s="31">
        <v>226.59539473609843</v>
      </c>
      <c r="C5" s="31">
        <v>241.13792005215572</v>
      </c>
      <c r="D5" s="31">
        <v>259.4455245319284</v>
      </c>
      <c r="E5" s="31">
        <v>283.11110586137715</v>
      </c>
      <c r="F5" s="31">
        <v>314.77362817595235</v>
      </c>
    </row>
    <row r="6" spans="1:6" x14ac:dyDescent="0.25">
      <c r="A6" s="30">
        <v>0.075455</v>
      </c>
      <c r="B6" s="31">
        <v>184.15319505879583</v>
      </c>
      <c r="C6" s="31">
        <v>192.67910695480532</v>
      </c>
      <c r="D6" s="31">
        <v>203.02394090720804</v>
      </c>
      <c r="E6" s="31">
        <v>215.78793519223126</v>
      </c>
      <c r="F6" s="31">
        <v>231.86807176486934</v>
      </c>
    </row>
    <row r="7" spans="1:6" x14ac:dyDescent="0.25">
      <c r="A7" s="30">
        <v>0.085455</v>
      </c>
      <c r="B7" s="31">
        <v>153.8178932855696</v>
      </c>
      <c r="C7" s="31">
        <v>159.06804041861957</v>
      </c>
      <c r="D7" s="32">
        <v>165.28858788478297</v>
      </c>
      <c r="E7" s="31">
        <v>172.7420188685645</v>
      </c>
      <c r="F7" s="31">
        <v>181.7948630055656</v>
      </c>
    </row>
    <row r="8" spans="1:6" x14ac:dyDescent="0.25">
      <c r="A8" s="30">
        <v>0.095455</v>
      </c>
      <c r="B8" s="31">
        <v>131.07057970680057</v>
      </c>
      <c r="C8" s="31">
        <v>134.39809754170383</v>
      </c>
      <c r="D8" s="31">
        <v>138.2807581354973</v>
      </c>
      <c r="E8" s="31">
        <v>142.8457808202924</v>
      </c>
      <c r="F8" s="31">
        <v>148.26247221034805</v>
      </c>
    </row>
    <row r="9" spans="1:6" x14ac:dyDescent="0.25">
      <c r="A9" s="30">
        <v>0.105455</v>
      </c>
      <c r="B9" s="31">
        <v>113.3910324666288</v>
      </c>
      <c r="C9" s="31">
        <v>115.52773987792614</v>
      </c>
      <c r="D9" s="31">
        <v>117.99879252186969</v>
      </c>
      <c r="E9" s="31">
        <v>120.8706562190107</v>
      </c>
      <c r="F9" s="31">
        <v>124.22866438497563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16044000000</v>
      </c>
      <c r="C5" s="18">
        <v>15898000000</v>
      </c>
      <c r="D5" s="18">
        <v>16107000000</v>
      </c>
      <c r="E5" s="18">
        <v>15932000000</v>
      </c>
      <c r="F5" s="6" t="s">
        <v>91</v>
      </c>
    </row>
    <row r="6" spans="1:6" x14ac:dyDescent="0.25">
      <c r="A6" t="s">
        <v>51</v>
      </c>
      <c r="B6" s="18">
        <v>4216000000</v>
      </c>
      <c r="C6" s="18">
        <v>4264000000</v>
      </c>
      <c r="D6" s="18">
        <v>4040000000</v>
      </c>
      <c r="E6" s="18">
        <v>3790000000</v>
      </c>
      <c r="F6" s="6" t="s">
        <v>92</v>
      </c>
    </row>
    <row r="7" spans="1:6" x14ac:dyDescent="0.25">
      <c r="A7" t="s">
        <v>93</v>
      </c>
      <c r="B7" s="18">
        <v>397000000</v>
      </c>
      <c r="C7" s="18">
        <v>402000000</v>
      </c>
      <c r="D7" s="18">
        <v>395000000</v>
      </c>
      <c r="E7" s="18">
        <v>410000000</v>
      </c>
      <c r="F7" s="6" t="s">
        <v>94</v>
      </c>
    </row>
    <row r="8" spans="1:6" x14ac:dyDescent="0.25">
      <c r="A8" t="s">
        <v>95</v>
      </c>
      <c r="B8" s="18">
        <v>419000000</v>
      </c>
      <c r="C8" s="18">
        <v>437000000</v>
      </c>
      <c r="D8" s="18">
        <v>455000000</v>
      </c>
      <c r="E8" s="18">
        <v>412000000</v>
      </c>
      <c r="F8" s="6" t="s">
        <v>96</v>
      </c>
    </row>
    <row r="9" spans="1:6" x14ac:dyDescent="0.25">
      <c r="A9" t="s">
        <v>97</v>
      </c>
      <c r="B9" s="18">
        <v>406000000</v>
      </c>
      <c r="C9" s="18">
        <v>18000000</v>
      </c>
      <c r="D9" s="18">
        <v>-210000000</v>
      </c>
      <c r="E9" s="18">
        <v>816000000</v>
      </c>
      <c r="F9" s="6" t="s">
        <v>98</v>
      </c>
    </row>
    <row r="10" spans="1:6" x14ac:dyDescent="0.25">
      <c r="A10" t="s">
        <v>99</v>
      </c>
      <c r="B10" s="18">
        <v>9211000000</v>
      </c>
      <c r="C10" s="18">
        <v>8078000000</v>
      </c>
      <c r="D10" s="18">
        <v>8370000000</v>
      </c>
      <c r="E10" s="18">
        <v>7949000000</v>
      </c>
      <c r="F10" s="6" t="s">
        <v>100</v>
      </c>
    </row>
    <row r="11" spans="1:6" x14ac:dyDescent="0.25">
      <c r="A11" t="s">
        <v>101</v>
      </c>
      <c r="B11" s="18">
        <v>851000000</v>
      </c>
      <c r="C11" s="18">
        <v>948000000</v>
      </c>
      <c r="D11" s="18">
        <v>1065000000</v>
      </c>
      <c r="E11" s="18">
        <v>708000000</v>
      </c>
      <c r="F11" s="6" t="s">
        <v>102</v>
      </c>
    </row>
    <row r="12" spans="1:6" x14ac:dyDescent="0.25">
      <c r="A12" t="s">
        <v>34</v>
      </c>
      <c r="B12" s="34">
        <v>292300000</v>
      </c>
      <c r="C12" s="34">
        <v>297800000</v>
      </c>
      <c r="D12" s="34">
        <v>303600000</v>
      </c>
      <c r="E12" s="34">
        <v>310700000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