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<sst xmlns="http://schemas.openxmlformats.org/spreadsheetml/2006/main" count="111" uniqueCount="99">
  <si>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Illinois Tool Works Inc. (ITW)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</si>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</sst>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0.0023378226519090717</v>
      </c>
    </row>
    <row r="7" spans="1:2" x14ac:dyDescent="0.25">
      <c r="A7" t="s">
        <v>5</v>
      </c>
      <c r="B7" s="6">
        <v>0.25492395980984345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0.025072130613431068</v>
      </c>
    </row>
    <row r="10" spans="1:2" x14ac:dyDescent="0.25">
      <c r="A10" t="s">
        <v>8</v>
      </c>
      <c r="B10" s="6">
        <v>0.026927977086548607</v>
      </c>
    </row>
    <row r="11" spans="1:2" x14ac:dyDescent="0.25">
      <c r="A11" t="s">
        <v>9</v>
      </c>
      <c r="B11" s="6">
        <v>-0.0861244019138756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18.445874389768047</v>
      </c>
    </row>
    <row r="14" spans="1:3" x14ac:dyDescent="0.25">
      <c r="A14" t="s">
        <v>12</v>
      </c>
      <c r="B14" s="6">
        <v>0.28075236032133577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0.99799</v>
      </c>
      <c r="C19" s="8" t="s">
        <v>19</v>
      </c>
    </row>
    <row r="20" spans="1:2" x14ac:dyDescent="0.25">
      <c r="A20" t="s">
        <v>20</v>
      </c>
      <c r="B20" s="10">
        <f>B17+B19*B18</f>
        <v>0.10486945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76730818560</v>
      </c>
    </row>
    <row r="23" spans="1:2" x14ac:dyDescent="0.25">
      <c r="A23" t="s">
        <v>24</v>
      </c>
      <c r="B23" s="11">
        <v>9211000000</v>
      </c>
    </row>
    <row r="24" spans="1:2" x14ac:dyDescent="0.25">
      <c r="A24" t="s">
        <v>25</v>
      </c>
      <c r="B24" s="10">
        <f>B22/(B22+B23)</f>
        <v>0.892822840447932</v>
      </c>
    </row>
    <row r="25" spans="1:2" x14ac:dyDescent="0.25">
      <c r="A25" t="s">
        <v>26</v>
      </c>
      <c r="B25" s="10">
        <f>1-B24</f>
        <v>0.10717715955206797</v>
      </c>
    </row>
    <row r="26" spans="1:2" x14ac:dyDescent="0.25">
      <c r="A26" t="s">
        <v>27</v>
      </c>
      <c r="B26" s="12">
        <f>B24*B20+B25*B21*(1-B8)</f>
        <v>0.09786164462839815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16044000000</v>
      </c>
      <c r="C29" s="8" t="s">
        <v>30</v>
      </c>
    </row>
    <row r="30" spans="1:2" x14ac:dyDescent="0.25">
      <c r="A30" t="s">
        <v>31</v>
      </c>
      <c r="B30" s="11">
        <v>8360000000</v>
      </c>
    </row>
    <row r="31" spans="1:2" x14ac:dyDescent="0.25">
      <c r="A31" t="s">
        <v>32</v>
      </c>
      <c r="B31" s="13">
        <v>292300000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0.0023378226519090717</v>
      </c>
      <c r="C5" s="10">
        <f>Assumptions!B6</f>
        <v>0.0023378226519090717</v>
      </c>
      <c r="D5" s="10">
        <f>Assumptions!B6</f>
        <v>0.0023378226519090717</v>
      </c>
      <c r="E5" s="10">
        <f>Assumptions!B6</f>
        <v>0.0023378226519090717</v>
      </c>
      <c r="F5" s="10">
        <f>Assumptions!B6</f>
        <v>0.0023378226519090717</v>
      </c>
    </row>
    <row r="6" spans="1:6" x14ac:dyDescent="0.25">
      <c r="A6" t="s">
        <v>43</v>
      </c>
      <c r="B6" s="18">
        <f>Assumptions!B29*(1+B5)</f>
        <v>16081508026.62723</v>
      </c>
      <c r="C6" s="18">
        <f>B6*(1+C5)</f>
        <v>16119103740.368736</v>
      </c>
      <c r="D6" s="18">
        <f>C6*(1+D5)</f>
        <v>16156787346.221443</v>
      </c>
      <c r="E6" s="18">
        <f>D6*(1+E5)</f>
        <v>16194559049.661518</v>
      </c>
      <c r="F6" s="18">
        <f>E6*(1+F5)</f>
        <v>16232419056.645496</v>
      </c>
    </row>
    <row r="7" spans="1:6" x14ac:dyDescent="0.25">
      <c r="A7" t="s">
        <v>5</v>
      </c>
      <c r="B7" s="10">
        <f>Assumptions!B7</f>
        <v>0.25492395980984345</v>
      </c>
      <c r="C7" s="10">
        <f>Assumptions!B7</f>
        <v>0.25492395980984345</v>
      </c>
      <c r="D7" s="10">
        <f>Assumptions!B7</f>
        <v>0.25492395980984345</v>
      </c>
      <c r="E7" s="10">
        <f>Assumptions!B7</f>
        <v>0.25492395980984345</v>
      </c>
      <c r="F7" s="10">
        <f>Assumptions!B7</f>
        <v>0.25492395980984345</v>
      </c>
    </row>
    <row r="8" spans="1:6" x14ac:dyDescent="0.25">
      <c r="A8" t="s">
        <v>44</v>
      </c>
      <c r="B8" s="18">
        <f>B6*B7</f>
        <v>4099561705.8615947</v>
      </c>
      <c r="C8" s="18">
        <f>C6*C7</f>
        <v>4109145754.0804567</v>
      </c>
      <c r="D8" s="18">
        <f>D6*D7</f>
        <v>4118752208.1043425</v>
      </c>
      <c r="E8" s="18">
        <f>E6*E7</f>
        <v>4128381120.3140492</v>
      </c>
      <c r="F8" s="18">
        <f>F6*F7</f>
        <v>4138032543.2128334</v>
      </c>
    </row>
    <row r="9" spans="1:6" x14ac:dyDescent="0.25">
      <c r="A9" t="s">
        <v>45</v>
      </c>
      <c r="B9" s="18">
        <f>B8*(1-Assumptions!B8)</f>
        <v>3238653747.63066</v>
      </c>
      <c r="C9" s="18">
        <f>C8*(1-Assumptions!B8)</f>
        <v>3246225145.723561</v>
      </c>
      <c r="D9" s="18">
        <f>D8*(1-Assumptions!B8)</f>
        <v>3253814244.4024305</v>
      </c>
      <c r="E9" s="18">
        <f>E8*(1-Assumptions!B8)</f>
        <v>3261421085.048099</v>
      </c>
      <c r="F9" s="18">
        <f>F8*(1-Assumptions!B8)</f>
        <v>3269045709.138139</v>
      </c>
    </row>
    <row r="10" spans="1:6" x14ac:dyDescent="0.25">
      <c r="A10" t="s">
        <v>46</v>
      </c>
      <c r="B10" s="18">
        <f>B6*Assumptions!B9</f>
        <v>403197669.704538</v>
      </c>
      <c r="C10" s="18">
        <f>C6*Assumptions!B9</f>
        <v>404140274.3499702</v>
      </c>
      <c r="D10" s="18">
        <f>D6*Assumptions!B9</f>
        <v>405085082.63789433</v>
      </c>
      <c r="E10" s="18">
        <f>E6*Assumptions!B9</f>
        <v>406032099.7200357</v>
      </c>
      <c r="F10" s="18">
        <f>F6*Assumptions!B9</f>
        <v>406981330.7601634</v>
      </c>
    </row>
    <row r="11" spans="1:6" x14ac:dyDescent="0.25">
      <c r="A11" t="s">
        <v>47</v>
      </c>
      <c r="B11" s="18">
        <f>-B6*Assumptions!B10</f>
        <v>-433042479.6581656</v>
      </c>
      <c r="C11" s="18">
        <f>-C6*Assumptions!B10</f>
        <v>-434054856.1763493</v>
      </c>
      <c r="D11" s="18">
        <f>-D6*Assumptions!B10</f>
        <v>-435069599.4512895</v>
      </c>
      <c r="E11" s="18">
        <f>-E6*Assumptions!B10</f>
        <v>-436086715.0160437</v>
      </c>
      <c r="F11" s="18">
        <f>-F6*Assumptions!B10</f>
        <v>-437106208.4166049</v>
      </c>
    </row>
    <row r="12" spans="1:6" x14ac:dyDescent="0.25">
      <c r="A12" t="s">
        <v>48</v>
      </c>
      <c r="B12" s="18">
        <f>-(B6-Assumptions!B29)*Assumptions!B11</f>
        <v>3230356.360239878</v>
      </c>
      <c r="C12" s="18">
        <f>-(C6-B6)*Assumptions!B11</f>
        <v>3237908.360512528</v>
      </c>
      <c r="D12" s="18">
        <f>-(D6-C6)*Assumptions!B11</f>
        <v>3245478.016022605</v>
      </c>
      <c r="E12" s="18">
        <f>-(E6-D6)*Assumptions!B11</f>
        <v>3253065.3680447303</v>
      </c>
      <c r="F12" s="18">
        <f>-(F6-E6)*Assumptions!B11</f>
        <v>3260670.457950282</v>
      </c>
    </row>
    <row r="13" spans="1:6" x14ac:dyDescent="0.25">
      <c r="A13" s="19" t="s">
        <v>49</v>
      </c>
      <c r="B13" s="20">
        <f>B9+B10+B11+B12</f>
        <v>3212039294.0372725</v>
      </c>
      <c r="C13" s="20">
        <f>C9+C10+C11+C12</f>
        <v>3219548472.2576947</v>
      </c>
      <c r="D13" s="20">
        <f>D9+D10+D11+D12</f>
        <v>3227075205.6050577</v>
      </c>
      <c r="E13" s="20">
        <f>E9+E10+E11+E12</f>
        <v>3234619535.120136</v>
      </c>
      <c r="F13" s="20">
        <f>F9+F10+F11+F12</f>
        <v>3242181501.939647</v>
      </c>
    </row>
    <row r="14" spans="1:6" x14ac:dyDescent="0.25">
      <c r="A14" t="s">
        <v>50</v>
      </c>
      <c r="B14" s="21">
        <f>1/(1+Assumptions!$B$26)^(1-0.5*Assumptions!$B$32)</f>
        <v>0.9543906889012194</v>
      </c>
      <c r="C14" s="21">
        <f>1/(1+Assumptions!$B$26)^(2-0.5*Assumptions!$B$32)</f>
        <v>0.8693178175691341</v>
      </c>
      <c r="D14" s="21">
        <f>1/(1+Assumptions!$B$26)^(3-0.5*Assumptions!$B$32)</f>
        <v>0.7918282069717253</v>
      </c>
      <c r="E14" s="21">
        <f>1/(1+Assumptions!$B$26)^(4-0.5*Assumptions!$B$32)</f>
        <v>0.7212458972822041</v>
      </c>
      <c r="F14" s="21">
        <f>1/(1+Assumptions!$B$26)^(5-0.5*Assumptions!$B$32)</f>
        <v>0.6569551826599515</v>
      </c>
    </row>
    <row r="15" spans="1:6" x14ac:dyDescent="0.25">
      <c r="A15" s="19" t="s">
        <v>51</v>
      </c>
      <c r="B15" s="20">
        <f>B13*B14</f>
        <v>3065540394.614019</v>
      </c>
      <c r="C15" s="20">
        <f>C13*C14</f>
        <v>2798810851.461099</v>
      </c>
      <c r="D15" s="20">
        <f>D13*D14</f>
        <v>2555289173.8171644</v>
      </c>
      <c r="E15" s="20">
        <f>E13*E14</f>
        <v>2332956068.9742684</v>
      </c>
      <c r="F15" s="20">
        <f>F13*F14</f>
        <v>2129967940.8234766</v>
      </c>
    </row>
    <row r="17" spans="1:2" x14ac:dyDescent="0.25">
      <c r="A17" s="22" t="s">
        <v>52</v>
      </c>
      <c r="B17" s="23">
        <f>SUM(B15:F15)</f>
        <v>12882564429.690027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3242181501.939647</v>
      </c>
    </row>
    <row r="5" spans="1:2" x14ac:dyDescent="0.25">
      <c r="A5" t="s">
        <v>56</v>
      </c>
      <c r="B5" s="18">
        <f>IF(Assumptions!$B$33=0,B4,B4-Forecast!F11-Forecast!F10-Forecast!F12)</f>
        <v>3354853674.785112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0.08904644638209343</v>
      </c>
    </row>
    <row r="7" spans="1:2" x14ac:dyDescent="0.25">
      <c r="A7" t="s">
        <v>58</v>
      </c>
      <c r="B7" s="18">
        <f>-MAX(Forecast!F9,0)*B6</f>
        <v>-298737797.8715216</v>
      </c>
    </row>
    <row r="8" spans="1:2" x14ac:dyDescent="0.25">
      <c r="A8" t="s">
        <v>59</v>
      </c>
      <c r="B8" s="18">
        <f>IF(OR(Assumptions!$B$33=0,Assumptions!B12&lt;=0),B5,MAX(B5+B7,0))</f>
        <v>3056115876.9135904</v>
      </c>
    </row>
    <row r="9" spans="1:2" x14ac:dyDescent="0.25">
      <c r="A9" t="s">
        <v>60</v>
      </c>
      <c r="B9" s="18">
        <f>B8*(1+Assumptions!B12)/(Assumptions!B26-Assumptions!B12)</f>
        <v>42992699242.68931</v>
      </c>
    </row>
    <row r="10" spans="1:2" x14ac:dyDescent="0.25">
      <c r="A10" t="s">
        <v>61</v>
      </c>
      <c r="B10" s="18">
        <f>B9/(1+Assumptions!B26)^(5-0.5*Assumptions!B32)</f>
        <v>28244276584.02531</v>
      </c>
    </row>
    <row r="11" spans="1:2" x14ac:dyDescent="0.25">
      <c r="A11" t="s">
        <v>62</v>
      </c>
      <c r="B11" s="18">
        <f>Forecast!B17+B10</f>
        <v>41126841013.71534</v>
      </c>
    </row>
    <row r="12" spans="1:2" x14ac:dyDescent="0.25">
      <c r="A12" t="s">
        <v>63</v>
      </c>
      <c r="B12" s="18">
        <f>-Assumptions!B30</f>
        <v>-8360000000</v>
      </c>
    </row>
    <row r="13" spans="1:2" x14ac:dyDescent="0.25">
      <c r="A13" t="s">
        <v>64</v>
      </c>
      <c r="B13" s="18">
        <f>B11+B12</f>
        <v>32766841013.71534</v>
      </c>
    </row>
    <row r="14" spans="1:2" x14ac:dyDescent="0.25">
      <c r="A14" s="19" t="s">
        <v>65</v>
      </c>
      <c r="B14" s="24">
        <f>B13/Assumptions!B31</f>
        <v>112.10003767949141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4545013873.972997</v>
      </c>
    </row>
    <row r="18" spans="1:2" x14ac:dyDescent="0.25">
      <c r="A18" t="s">
        <v>60</v>
      </c>
      <c r="B18" s="18">
        <f>B17*Assumptions!B13</f>
        <v>83836755019.05896</v>
      </c>
    </row>
    <row r="19" spans="1:2" x14ac:dyDescent="0.25">
      <c r="A19" t="s">
        <v>61</v>
      </c>
      <c r="B19" s="18">
        <f>B18/(1+Assumptions!B26)^(5-0.5*Assumptions!B32)</f>
        <v>55076990707.16348</v>
      </c>
    </row>
    <row r="20" spans="1:2" x14ac:dyDescent="0.25">
      <c r="A20" t="s">
        <v>62</v>
      </c>
      <c r="B20" s="18">
        <f>Forecast!B17+B19</f>
        <v>67959555136.85351</v>
      </c>
    </row>
    <row r="21" spans="1:2" x14ac:dyDescent="0.25">
      <c r="A21" t="s">
        <v>63</v>
      </c>
      <c r="B21" s="18">
        <f>-Assumptions!B30</f>
        <v>-8360000000</v>
      </c>
    </row>
    <row r="22" spans="1:2" x14ac:dyDescent="0.25">
      <c r="A22" t="s">
        <v>64</v>
      </c>
      <c r="B22" s="18">
        <f>B20+B21</f>
        <v>59599555136.85351</v>
      </c>
    </row>
    <row r="23" spans="1:2" x14ac:dyDescent="0.25">
      <c r="A23" s="19" t="s">
        <v>65</v>
      </c>
      <c r="B23" s="25">
        <f>B22/Assumptions!B31</f>
        <v>203.8985806939908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269.42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112.10003767949141</v>
      </c>
    </row>
    <row r="29" spans="1:2" x14ac:dyDescent="0.25">
      <c r="A29" s="19" t="s">
        <v>73</v>
      </c>
      <c r="B29" s="12">
        <f>B28/B26-1</f>
        <v>-0.5839208756607104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0.077862</v>
      </c>
      <c r="B5" s="31">
        <v>142.5891263429733</v>
      </c>
      <c r="C5" s="31">
        <v>151.50500298938556</v>
      </c>
      <c r="D5" s="31">
        <v>162.07991819274912</v>
      </c>
      <c r="E5" s="31">
        <v>174.83381634223008</v>
      </c>
      <c r="F5" s="31">
        <v>190.52925504577405</v>
      </c>
    </row>
    <row r="6" spans="1:6" x14ac:dyDescent="0.25">
      <c r="A6" s="30">
        <v>0.087862</v>
      </c>
      <c r="B6" s="31">
        <v>120.0262178216842</v>
      </c>
      <c r="C6" s="31">
        <v>126.10449761287842</v>
      </c>
      <c r="D6" s="31">
        <v>133.12744195651203</v>
      </c>
      <c r="E6" s="31">
        <v>141.33994332582472</v>
      </c>
      <c r="F6" s="31">
        <v>151.07954769685185</v>
      </c>
    </row>
    <row r="7" spans="1:6" x14ac:dyDescent="0.25">
      <c r="A7" s="30">
        <v>0.097862</v>
      </c>
      <c r="B7" s="31">
        <v>102.89903264600589</v>
      </c>
      <c r="C7" s="31">
        <v>107.21242988356343</v>
      </c>
      <c r="D7" s="32">
        <v>112.09939256790082</v>
      </c>
      <c r="E7" s="31">
        <v>117.68669977569864</v>
      </c>
      <c r="F7" s="31">
        <v>124.14146626391508</v>
      </c>
    </row>
    <row r="8" spans="1:6" x14ac:dyDescent="0.25">
      <c r="A8" s="30">
        <v>0.107862</v>
      </c>
      <c r="B8" s="31">
        <v>89.45187241894816</v>
      </c>
      <c r="C8" s="31">
        <v>92.60716623212383</v>
      </c>
      <c r="D8" s="31">
        <v>96.12769116443077</v>
      </c>
      <c r="E8" s="31">
        <v>100.08380845481692</v>
      </c>
      <c r="F8" s="31">
        <v>104.5651929045668</v>
      </c>
    </row>
    <row r="9" spans="1:6" x14ac:dyDescent="0.25">
      <c r="A9" s="30">
        <v>0.117862</v>
      </c>
      <c r="B9" s="31">
        <v>78.61175914935146</v>
      </c>
      <c r="C9" s="31">
        <v>80.97510691587752</v>
      </c>
      <c r="D9" s="31">
        <v>83.57962340266752</v>
      </c>
      <c r="E9" s="31">
        <v>86.46648148085984</v>
      </c>
      <c r="F9" s="31">
        <v>89.68679171827851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16044000000</v>
      </c>
      <c r="C5" s="18">
        <v>15898000000</v>
      </c>
      <c r="D5" s="18">
        <v>16107000000</v>
      </c>
      <c r="E5" s="18">
        <v>15932000000</v>
      </c>
      <c r="F5" s="8" t="s">
        <v>84</v>
      </c>
    </row>
    <row r="6" spans="1:6" x14ac:dyDescent="0.25">
      <c r="A6" t="s">
        <v>44</v>
      </c>
      <c r="B6" s="18">
        <v>4216000000</v>
      </c>
      <c r="C6" s="18">
        <v>4264000000</v>
      </c>
      <c r="D6" s="18">
        <v>4040000000</v>
      </c>
      <c r="E6" s="18">
        <v>3790000000</v>
      </c>
      <c r="F6" s="8" t="s">
        <v>85</v>
      </c>
    </row>
    <row r="7" spans="1:6" x14ac:dyDescent="0.25">
      <c r="A7" t="s">
        <v>86</v>
      </c>
      <c r="B7" s="18">
        <v>397000000</v>
      </c>
      <c r="C7" s="18">
        <v>402000000</v>
      </c>
      <c r="D7" s="18">
        <v>395000000</v>
      </c>
      <c r="E7" s="18">
        <v>410000000</v>
      </c>
      <c r="F7" s="8" t="s">
        <v>87</v>
      </c>
    </row>
    <row r="8" spans="1:6" x14ac:dyDescent="0.25">
      <c r="A8" t="s">
        <v>88</v>
      </c>
      <c r="B8" s="18">
        <v>419000000</v>
      </c>
      <c r="C8" s="18">
        <v>437000000</v>
      </c>
      <c r="D8" s="18">
        <v>455000000</v>
      </c>
      <c r="E8" s="18">
        <v>412000000</v>
      </c>
      <c r="F8" s="8" t="s">
        <v>89</v>
      </c>
    </row>
    <row r="9" spans="1:6" x14ac:dyDescent="0.25">
      <c r="A9" t="s">
        <v>90</v>
      </c>
      <c r="B9" s="18">
        <v>406000000</v>
      </c>
      <c r="C9" s="18">
        <v>18000000</v>
      </c>
      <c r="D9" s="18">
        <v>-210000000</v>
      </c>
      <c r="E9" s="18">
        <v>816000000</v>
      </c>
      <c r="F9" s="8" t="s">
        <v>91</v>
      </c>
    </row>
    <row r="10" spans="1:6" x14ac:dyDescent="0.25">
      <c r="A10" t="s">
        <v>92</v>
      </c>
      <c r="B10" s="18">
        <v>9211000000</v>
      </c>
      <c r="C10" s="18">
        <v>8078000000</v>
      </c>
      <c r="D10" s="18">
        <v>8370000000</v>
      </c>
      <c r="E10" s="18">
        <v>7949000000</v>
      </c>
      <c r="F10" s="8" t="s">
        <v>93</v>
      </c>
    </row>
    <row r="11" spans="1:6" x14ac:dyDescent="0.25">
      <c r="A11" t="s">
        <v>94</v>
      </c>
      <c r="B11" s="18">
        <v>851000000</v>
      </c>
      <c r="C11" s="18">
        <v>948000000</v>
      </c>
      <c r="D11" s="18">
        <v>1065000000</v>
      </c>
      <c r="E11" s="18">
        <v>708000000</v>
      </c>
      <c r="F11" s="8" t="s">
        <v>95</v>
      </c>
    </row>
    <row r="12" spans="1:6" x14ac:dyDescent="0.25">
      <c r="A12" t="s">
        <v>32</v>
      </c>
      <c r="B12" s="34">
        <v>292300000</v>
      </c>
      <c r="C12" s="34">
        <v>297800000</v>
      </c>
      <c r="D12" s="34">
        <v>303600000</v>
      </c>
      <c r="E12" s="34">
        <v>310700000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