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<sst xmlns="http://schemas.openxmlformats.org/spreadsheetml/2006/main" count="112" uniqueCount="100">
  <si>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Industria de Diseño Textil, S.A. (ITX.MC)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</si>
  <si>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</si>
  <si>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</si>
  <si>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</si>
  <si>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</si>
  <si>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</si>
  <si>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</si>
  <si>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</si>
  <si>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</si>
  <si>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</si>
  <si>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</si>
  <si>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</si>
  <si>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</si>
  <si>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</si>
  <si>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</si>
  <si>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</si>
  <si>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</si>
  <si>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</si>
  <si>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</si>
  <si>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</si>
  <si>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</si>
  <si>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</si>
  <si>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</si>
  <si>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</si>
  <si>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</si>
  <si>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</si>
  <si>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</si>
  <si>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</si>
  <si>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</si>
  <si>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</si>
  <si>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2026-01-31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</si>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</sst>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0.06969216956560764</v>
      </c>
    </row>
    <row r="7" spans="1:2" x14ac:dyDescent="0.25">
      <c r="A7" t="s">
        <v>5</v>
      </c>
      <c r="B7" s="6">
        <v>0.19356114083079162</v>
      </c>
    </row>
    <row r="8" spans="1:2" x14ac:dyDescent="0.25">
      <c r="A8" t="s">
        <v>6</v>
      </c>
      <c r="B8" s="6">
        <v>0.22440105358880746</v>
      </c>
    </row>
    <row r="9" spans="1:2" x14ac:dyDescent="0.25">
      <c r="A9" t="s">
        <v>7</v>
      </c>
      <c r="B9" s="6">
        <v>0.08054909116159405</v>
      </c>
    </row>
    <row r="10" spans="1:2" x14ac:dyDescent="0.25">
      <c r="A10" t="s">
        <v>8</v>
      </c>
      <c r="B10" s="6">
        <v>0.05817991385623524</v>
      </c>
    </row>
    <row r="11" spans="1:2" x14ac:dyDescent="0.25">
      <c r="A11" t="s">
        <v>9</v>
      </c>
      <c r="B11" s="6">
        <v>0.07374301675977654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13.949628527264615</v>
      </c>
    </row>
    <row r="14" spans="1:3" x14ac:dyDescent="0.25">
      <c r="A14" t="s">
        <v>12</v>
      </c>
      <c r="B14" s="6">
        <v>0.2948802729525314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0.93635</v>
      </c>
      <c r="C19" s="8" t="s">
        <v>19</v>
      </c>
    </row>
    <row r="20" spans="1:2" x14ac:dyDescent="0.25">
      <c r="A20" t="s">
        <v>20</v>
      </c>
      <c r="B20" s="10">
        <f>B17+B19*B18</f>
        <v>0.10286275</v>
      </c>
    </row>
    <row r="21" spans="1:3" x14ac:dyDescent="0.25">
      <c r="A21" t="s">
        <v>21</v>
      </c>
      <c r="B21" s="6">
        <v>0.06164611796067977</v>
      </c>
      <c r="C21" s="8" t="s">
        <v>22</v>
      </c>
    </row>
    <row r="22" spans="1:2" x14ac:dyDescent="0.25">
      <c r="A22" t="s">
        <v>23</v>
      </c>
      <c r="B22" s="11">
        <v>161170587648</v>
      </c>
    </row>
    <row r="23" spans="1:2" x14ac:dyDescent="0.25">
      <c r="A23" t="s">
        <v>24</v>
      </c>
      <c r="B23" s="11">
        <v>6095000000</v>
      </c>
    </row>
    <row r="24" spans="1:2" x14ac:dyDescent="0.25">
      <c r="A24" t="s">
        <v>25</v>
      </c>
      <c r="B24" s="10">
        <f>B22/(B22+B23)</f>
        <v>0.9635609446885958</v>
      </c>
    </row>
    <row r="25" spans="1:2" x14ac:dyDescent="0.25">
      <c r="A25" t="s">
        <v>26</v>
      </c>
      <c r="B25" s="10">
        <f>1-B24</f>
        <v>0.036439055311404234</v>
      </c>
    </row>
    <row r="26" spans="1:2" x14ac:dyDescent="0.25">
      <c r="A26" t="s">
        <v>27</v>
      </c>
      <c r="B26" s="12">
        <f>B24*B20+B25*B21*(1-B8)</f>
        <v>0.10085677687647335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39864000000</v>
      </c>
      <c r="C29" s="8" t="s">
        <v>30</v>
      </c>
    </row>
    <row r="30" spans="1:2" x14ac:dyDescent="0.25">
      <c r="A30" t="s">
        <v>31</v>
      </c>
      <c r="B30" s="11">
        <v>-4865000000</v>
      </c>
    </row>
    <row r="31" spans="1:2" x14ac:dyDescent="0.25">
      <c r="A31" t="s">
        <v>32</v>
      </c>
      <c r="B31" s="13">
        <v>3117794486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0.06969216956560764</v>
      </c>
      <c r="C5" s="10">
        <f>Assumptions!B6</f>
        <v>0.06969216956560764</v>
      </c>
      <c r="D5" s="10">
        <f>Assumptions!B6</f>
        <v>0.06969216956560764</v>
      </c>
      <c r="E5" s="10">
        <f>Assumptions!B6</f>
        <v>0.06969216956560764</v>
      </c>
      <c r="F5" s="10">
        <f>Assumptions!B6</f>
        <v>0.06969216956560764</v>
      </c>
    </row>
    <row r="6" spans="1:6" x14ac:dyDescent="0.25">
      <c r="A6" t="s">
        <v>43</v>
      </c>
      <c r="B6" s="18">
        <f>Assumptions!B29*(1+B5)</f>
        <v>42642208647.563385</v>
      </c>
      <c r="C6" s="18">
        <f>B6*(1+C5)</f>
        <v>45614036683.281395</v>
      </c>
      <c r="D6" s="18">
        <f>C6*(1+D5)</f>
        <v>48792977862.38449</v>
      </c>
      <c r="E6" s="18">
        <f>D6*(1+E5)</f>
        <v>52193466349.18073</v>
      </c>
      <c r="F6" s="18">
        <f>E6*(1+F5)</f>
        <v>55830942256.20467</v>
      </c>
    </row>
    <row r="7" spans="1:6" x14ac:dyDescent="0.25">
      <c r="A7" t="s">
        <v>5</v>
      </c>
      <c r="B7" s="10">
        <f>Assumptions!B7</f>
        <v>0.19356114083079162</v>
      </c>
      <c r="C7" s="10">
        <f>Assumptions!B7</f>
        <v>0.19356114083079162</v>
      </c>
      <c r="D7" s="10">
        <f>Assumptions!B7</f>
        <v>0.19356114083079162</v>
      </c>
      <c r="E7" s="10">
        <f>Assumptions!B7</f>
        <v>0.19356114083079162</v>
      </c>
      <c r="F7" s="10">
        <f>Assumptions!B7</f>
        <v>0.19356114083079162</v>
      </c>
    </row>
    <row r="8" spans="1:6" x14ac:dyDescent="0.25">
      <c r="A8" t="s">
        <v>44</v>
      </c>
      <c r="B8" s="18">
        <f>B6*B7</f>
        <v>8253874553.367017</v>
      </c>
      <c r="C8" s="18">
        <f>C6*C7</f>
        <v>8829104978.313526</v>
      </c>
      <c r="D8" s="18">
        <f>D6*D7</f>
        <v>9444424459.574703</v>
      </c>
      <c r="E8" s="18">
        <f>E6*E7</f>
        <v>10102626890.460955</v>
      </c>
      <c r="F8" s="18">
        <f>F6*F7</f>
        <v>10806700876.769028</v>
      </c>
    </row>
    <row r="9" spans="1:6" x14ac:dyDescent="0.25">
      <c r="A9" t="s">
        <v>45</v>
      </c>
      <c r="B9" s="18">
        <f>B8*(1-Assumptions!B8)</f>
        <v>6401696407.40161</v>
      </c>
      <c r="C9" s="18">
        <f>C8*(1-Assumptions!B8)</f>
        <v>6847844518.933785</v>
      </c>
      <c r="D9" s="18">
        <f>D8*(1-Assumptions!B8)</f>
        <v>7325085660.306236</v>
      </c>
      <c r="E9" s="18">
        <f>E8*(1-Assumptions!B8)</f>
        <v>7835586772.226898</v>
      </c>
      <c r="F9" s="18">
        <f>F8*(1-Assumptions!B8)</f>
        <v>8381665814.202969</v>
      </c>
    </row>
    <row r="10" spans="1:6" x14ac:dyDescent="0.25">
      <c r="A10" t="s">
        <v>46</v>
      </c>
      <c r="B10" s="18">
        <f>B6*Assumptions!B9</f>
        <v>3434791151.684297</v>
      </c>
      <c r="C10" s="18">
        <f>C6*Assumptions!B9</f>
        <v>3674169199.049928</v>
      </c>
      <c r="D10" s="18">
        <f>D6*Assumptions!B9</f>
        <v>3930230021.8828487</v>
      </c>
      <c r="E10" s="18">
        <f>E6*Assumptions!B9</f>
        <v>4204136278.99975</v>
      </c>
      <c r="F10" s="18">
        <f>F6*Assumptions!B9</f>
        <v>4497131657.432723</v>
      </c>
    </row>
    <row r="11" spans="1:6" x14ac:dyDescent="0.25">
      <c r="A11" t="s">
        <v>47</v>
      </c>
      <c r="B11" s="18">
        <f>-B6*Assumptions!B10</f>
        <v>-2480920025.754847</v>
      </c>
      <c r="C11" s="18">
        <f>-C6*Assumptions!B10</f>
        <v>-2653820724.868466</v>
      </c>
      <c r="D11" s="18">
        <f>-D6*Assumptions!B10</f>
        <v>-2838771248.822723</v>
      </c>
      <c r="E11" s="18">
        <f>-E6*Assumptions!B10</f>
        <v>-3036611376.053648</v>
      </c>
      <c r="F11" s="18">
        <f>-F6*Assumptions!B10</f>
        <v>-3248239410.978432</v>
      </c>
    </row>
    <row r="12" spans="1:6" x14ac:dyDescent="0.25">
      <c r="A12" t="s">
        <v>48</v>
      </c>
      <c r="B12" s="18">
        <f>-(B6-Assumptions!B29)*Assumptions!B11</f>
        <v>-204873486.85942283</v>
      </c>
      <c r="C12" s="18">
        <f>-(C6-B6)*Assumptions!B11</f>
        <v>-219151564.645127</v>
      </c>
      <c r="D12" s="18">
        <f>-(D6-C6)*Assumptions!B11</f>
        <v>-234424712.64894342</v>
      </c>
      <c r="E12" s="18">
        <f>-(E6-D6)*Assumptions!B11</f>
        <v>-250762279.47324243</v>
      </c>
      <c r="F12" s="18">
        <f>-(F6-E6)*Assumptions!B11</f>
        <v>-268238446.77494985</v>
      </c>
    </row>
    <row r="13" spans="1:6" x14ac:dyDescent="0.25">
      <c r="A13" s="19" t="s">
        <v>49</v>
      </c>
      <c r="B13" s="20">
        <f>B9+B10+B11+B12</f>
        <v>7150694046.471638</v>
      </c>
      <c r="C13" s="20">
        <f>C9+C10+C11+C12</f>
        <v>7649041428.47012</v>
      </c>
      <c r="D13" s="20">
        <f>D9+D10+D11+D12</f>
        <v>8182119720.717419</v>
      </c>
      <c r="E13" s="20">
        <f>E9+E10+E11+E12</f>
        <v>8752349395.699759</v>
      </c>
      <c r="F13" s="20">
        <f>F9+F10+F11+F12</f>
        <v>9362319613.88231</v>
      </c>
    </row>
    <row r="14" spans="1:6" x14ac:dyDescent="0.25">
      <c r="A14" t="s">
        <v>50</v>
      </c>
      <c r="B14" s="21">
        <f>1/(1+Assumptions!$B$26)^(1-0.5*Assumptions!$B$32)</f>
        <v>0.9530914856998709</v>
      </c>
      <c r="C14" s="21">
        <f>1/(1+Assumptions!$B$26)^(2-0.5*Assumptions!$B$32)</f>
        <v>0.8657724653375294</v>
      </c>
      <c r="D14" s="21">
        <f>1/(1+Assumptions!$B$26)^(3-0.5*Assumptions!$B$32)</f>
        <v>0.7864533184725785</v>
      </c>
      <c r="E14" s="21">
        <f>1/(1+Assumptions!$B$26)^(4-0.5*Assumptions!$B$32)</f>
        <v>0.7144011237356683</v>
      </c>
      <c r="F14" s="21">
        <f>1/(1+Assumptions!$B$26)^(5-0.5*Assumptions!$B$32)</f>
        <v>0.6489501075359514</v>
      </c>
    </row>
    <row r="15" spans="1:6" x14ac:dyDescent="0.25">
      <c r="A15" s="19" t="s">
        <v>51</v>
      </c>
      <c r="B15" s="20">
        <f>B13*B14</f>
        <v>6815265612.536875</v>
      </c>
      <c r="C15" s="20">
        <f>C13*C14</f>
        <v>6622329454.995474</v>
      </c>
      <c r="D15" s="20">
        <f>D13*D14</f>
        <v>6434855206.498141</v>
      </c>
      <c r="E15" s="20">
        <f>E13*E14</f>
        <v>6252688243.615105</v>
      </c>
      <c r="F15" s="20">
        <f>F13*F14</f>
        <v>6075678320.214872</v>
      </c>
    </row>
    <row r="17" spans="1:2" x14ac:dyDescent="0.25">
      <c r="A17" s="22" t="s">
        <v>52</v>
      </c>
      <c r="B17" s="23">
        <f>SUM(B15:F15)</f>
        <v>32200816837.860466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9362319613.88231</v>
      </c>
    </row>
    <row r="5" spans="1:2" x14ac:dyDescent="0.25">
      <c r="A5" t="s">
        <v>56</v>
      </c>
      <c r="B5" s="18">
        <f>IF(Assumptions!$B$33=0,B4,B4-Forecast!F11-Forecast!F10-Forecast!F12)</f>
        <v>8909273737.692883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0.08478017111719237</v>
      </c>
    </row>
    <row r="7" spans="1:2" x14ac:dyDescent="0.25">
      <c r="A7" t="s">
        <v>58</v>
      </c>
      <c r="B7" s="18">
        <f>-MAX(Forecast!F9,0)*B6</f>
        <v>-755329752.0115106</v>
      </c>
    </row>
    <row r="8" spans="1:2" x14ac:dyDescent="0.25">
      <c r="A8" t="s">
        <v>59</v>
      </c>
      <c r="B8" s="18">
        <f>IF(OR(Assumptions!$B$33=0,Assumptions!B12&lt;=0),B5,MAX(B5+B7,0))</f>
        <v>8153943985.681372</v>
      </c>
    </row>
    <row r="9" spans="1:2" x14ac:dyDescent="0.25">
      <c r="A9" t="s">
        <v>60</v>
      </c>
      <c r="B9" s="18">
        <f>B8*(1+Assumptions!B12)/(Assumptions!B26-Assumptions!B12)</f>
        <v>110178588248.39601</v>
      </c>
    </row>
    <row r="10" spans="1:2" x14ac:dyDescent="0.25">
      <c r="A10" t="s">
        <v>61</v>
      </c>
      <c r="B10" s="18">
        <f>B9/(1+Assumptions!B26)^(5-0.5*Assumptions!B32)</f>
        <v>71500406691.9559</v>
      </c>
    </row>
    <row r="11" spans="1:2" x14ac:dyDescent="0.25">
      <c r="A11" t="s">
        <v>62</v>
      </c>
      <c r="B11" s="18">
        <f>Forecast!B17+B10</f>
        <v>103701223529.81638</v>
      </c>
    </row>
    <row r="12" spans="1:2" x14ac:dyDescent="0.25">
      <c r="A12" t="s">
        <v>63</v>
      </c>
      <c r="B12" s="18">
        <f>-Assumptions!B30</f>
        <v>4865000000</v>
      </c>
    </row>
    <row r="13" spans="1:2" x14ac:dyDescent="0.25">
      <c r="A13" t="s">
        <v>64</v>
      </c>
      <c r="B13" s="18">
        <f>B11+B12</f>
        <v>108566223529.81638</v>
      </c>
    </row>
    <row r="14" spans="1:2" x14ac:dyDescent="0.25">
      <c r="A14" s="19" t="s">
        <v>65</v>
      </c>
      <c r="B14" s="24">
        <f>B13/Assumptions!B31</f>
        <v>34.821481665105615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15303832534.201752</v>
      </c>
    </row>
    <row r="18" spans="1:2" x14ac:dyDescent="0.25">
      <c r="A18" t="s">
        <v>60</v>
      </c>
      <c r="B18" s="18">
        <f>B17*Assumptions!B13</f>
        <v>213482778895.5811</v>
      </c>
    </row>
    <row r="19" spans="1:2" x14ac:dyDescent="0.25">
      <c r="A19" t="s">
        <v>61</v>
      </c>
      <c r="B19" s="18">
        <f>B18/(1+Assumptions!B26)^(5-0.5*Assumptions!B32)</f>
        <v>138539672321.36108</v>
      </c>
    </row>
    <row r="20" spans="1:2" x14ac:dyDescent="0.25">
      <c r="A20" t="s">
        <v>62</v>
      </c>
      <c r="B20" s="18">
        <f>Forecast!B17+B19</f>
        <v>170740489159.22156</v>
      </c>
    </row>
    <row r="21" spans="1:2" x14ac:dyDescent="0.25">
      <c r="A21" t="s">
        <v>63</v>
      </c>
      <c r="B21" s="18">
        <f>-Assumptions!B30</f>
        <v>4865000000</v>
      </c>
    </row>
    <row r="22" spans="1:2" x14ac:dyDescent="0.25">
      <c r="A22" t="s">
        <v>64</v>
      </c>
      <c r="B22" s="18">
        <f>B20+B21</f>
        <v>175605489159.22156</v>
      </c>
    </row>
    <row r="23" spans="1:2" x14ac:dyDescent="0.25">
      <c r="A23" s="19" t="s">
        <v>65</v>
      </c>
      <c r="B23" s="25">
        <f>B22/Assumptions!B31</f>
        <v>56.32362554611996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51.74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34.821481665105615</v>
      </c>
    </row>
    <row r="29" spans="1:2" x14ac:dyDescent="0.25">
      <c r="A29" s="19" t="s">
        <v>73</v>
      </c>
      <c r="B29" s="12">
        <f>B28/B26-1</f>
        <v>-0.3269910772109468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0.080857</v>
      </c>
      <c r="B5" s="31">
        <v>41.82485015441064</v>
      </c>
      <c r="C5" s="31">
        <v>43.82996231062377</v>
      </c>
      <c r="D5" s="31">
        <v>46.18793344809243</v>
      </c>
      <c r="E5" s="31">
        <v>49.00283743509109</v>
      </c>
      <c r="F5" s="31">
        <v>52.42413875344259</v>
      </c>
    </row>
    <row r="6" spans="1:6" x14ac:dyDescent="0.25">
      <c r="A6" s="30">
        <v>0.090857</v>
      </c>
      <c r="B6" s="31">
        <v>36.65999158990791</v>
      </c>
      <c r="C6" s="31">
        <v>38.04929436327399</v>
      </c>
      <c r="D6" s="31">
        <v>39.644579987994</v>
      </c>
      <c r="E6" s="31">
        <v>41.49661900435602</v>
      </c>
      <c r="F6" s="31">
        <v>43.67436070921861</v>
      </c>
    </row>
    <row r="7" spans="1:6" x14ac:dyDescent="0.25">
      <c r="A7" s="30">
        <v>0.100857</v>
      </c>
      <c r="B7" s="31">
        <v>32.69609906006116</v>
      </c>
      <c r="C7" s="31">
        <v>33.69497665403722</v>
      </c>
      <c r="D7" s="32">
        <v>34.821388181164444</v>
      </c>
      <c r="E7" s="31">
        <v>36.1023318067232</v>
      </c>
      <c r="F7" s="31">
        <v>37.573004722757915</v>
      </c>
    </row>
    <row r="8" spans="1:6" x14ac:dyDescent="0.25">
      <c r="A8" s="30">
        <v>0.110857</v>
      </c>
      <c r="B8" s="31">
        <v>29.55744114933078</v>
      </c>
      <c r="C8" s="31">
        <v>30.296238801637106</v>
      </c>
      <c r="D8" s="31">
        <v>31.117569974729683</v>
      </c>
      <c r="E8" s="31">
        <v>32.03674568449823</v>
      </c>
      <c r="F8" s="31">
        <v>33.073113757117504</v>
      </c>
    </row>
    <row r="9" spans="1:6" x14ac:dyDescent="0.25">
      <c r="A9" s="30">
        <v>0.120857</v>
      </c>
      <c r="B9" s="31">
        <v>27.010254437994554</v>
      </c>
      <c r="C9" s="31">
        <v>27.569005793111824</v>
      </c>
      <c r="D9" s="31">
        <v>28.183022284459895</v>
      </c>
      <c r="E9" s="31">
        <v>28.861427887554843</v>
      </c>
      <c r="F9" s="31">
        <v>29.61547196676069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39864000000</v>
      </c>
      <c r="C5" s="18">
        <v>38632000000</v>
      </c>
      <c r="D5" s="18">
        <v>35947000000</v>
      </c>
      <c r="E5" s="18">
        <v>32569000000</v>
      </c>
      <c r="F5" s="8" t="s">
        <v>84</v>
      </c>
    </row>
    <row r="6" spans="1:6" x14ac:dyDescent="0.25">
      <c r="A6" t="s">
        <v>44</v>
      </c>
      <c r="B6" s="18">
        <v>8064000000</v>
      </c>
      <c r="C6" s="18">
        <v>7673000000</v>
      </c>
      <c r="D6" s="18">
        <v>6914000000</v>
      </c>
      <c r="E6" s="18">
        <v>5895000000</v>
      </c>
      <c r="F6" s="8" t="s">
        <v>85</v>
      </c>
    </row>
    <row r="7" spans="1:6" x14ac:dyDescent="0.25">
      <c r="A7" t="s">
        <v>86</v>
      </c>
      <c r="B7" s="18">
        <v>3141000000</v>
      </c>
      <c r="C7" s="18">
        <v>2997000000</v>
      </c>
      <c r="D7" s="18">
        <v>2897000000</v>
      </c>
      <c r="E7" s="18">
        <v>2776000000</v>
      </c>
      <c r="F7" s="8" t="s">
        <v>87</v>
      </c>
    </row>
    <row r="8" spans="1:6" x14ac:dyDescent="0.25">
      <c r="A8" t="s">
        <v>88</v>
      </c>
      <c r="B8" s="18">
        <v>2712000000</v>
      </c>
      <c r="C8" s="18">
        <v>2672000000</v>
      </c>
      <c r="D8" s="18">
        <v>1872000000</v>
      </c>
      <c r="E8" s="18">
        <v>1415000000</v>
      </c>
      <c r="F8" s="8" t="s">
        <v>89</v>
      </c>
    </row>
    <row r="9" spans="1:6" x14ac:dyDescent="0.25">
      <c r="A9" t="s">
        <v>90</v>
      </c>
      <c r="B9" s="18">
        <v>803000000</v>
      </c>
      <c r="C9" s="18">
        <v>198000000</v>
      </c>
      <c r="D9" s="18">
        <v>56000000</v>
      </c>
      <c r="E9" s="18">
        <v>669000000</v>
      </c>
      <c r="F9" s="8" t="s">
        <v>91</v>
      </c>
    </row>
    <row r="10" spans="1:6" x14ac:dyDescent="0.25">
      <c r="A10" t="s">
        <v>92</v>
      </c>
      <c r="B10" s="18">
        <v>6095000000</v>
      </c>
      <c r="C10" s="18">
        <v>5909000000</v>
      </c>
      <c r="D10" s="18">
        <v>5739000000</v>
      </c>
      <c r="E10" s="18">
        <v>5596000000</v>
      </c>
      <c r="F10" s="8" t="s">
        <v>93</v>
      </c>
    </row>
    <row r="11" spans="1:6" x14ac:dyDescent="0.25">
      <c r="A11" t="s">
        <v>94</v>
      </c>
      <c r="B11" s="18">
        <v>10960000000</v>
      </c>
      <c r="C11" s="18">
        <v>11502000000</v>
      </c>
      <c r="D11" s="18">
        <v>11422000000</v>
      </c>
      <c r="E11" s="18">
        <v>10083000000</v>
      </c>
      <c r="F11" s="8" t="s">
        <v>95</v>
      </c>
    </row>
    <row r="12" spans="1:6" x14ac:dyDescent="0.25">
      <c r="A12" t="s">
        <v>32</v>
      </c>
      <c r="B12" s="34">
        <v>3117794486</v>
      </c>
      <c r="C12" s="34">
        <v>3118553961</v>
      </c>
      <c r="D12" s="34">
        <v>3117612978</v>
      </c>
      <c r="E12" s="34">
        <v>3114630468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