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<sst xmlns="http://schemas.openxmlformats.org/spreadsheetml/2006/main" count="121" uniqueCount="108">
  <si>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Invesco Ltd. (IVZ)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</si>
  <si>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</si>
  <si>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</si>
  <si>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</si>
  <si>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</si>
  <si>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</si>
  <si>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</si>
  <si>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</si>
  <si>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</si>
  <si>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</si>
  <si>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</si>
  <si>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</si>
  <si>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</si>
  <si>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</si>
  <si>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</si>
  <si>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</si>
  <si>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</si>
  <si>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</si>
  <si>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</si>
  <si>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</si>
  <si>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</si>
  <si>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</si>
  <si>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</si>
  <si>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</si>
  <si>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-8.4x interest cover, capped at 200bp because one year's cover is too noisy to charge more. Book interest / average debt was lower, at 1.0%.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</si>
  <si>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</si>
  <si>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</si>
  <si>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</si>
  <si>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</si>
  <si>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</si>
  <si>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</si>
  <si>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</si>
  <si>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</si>
  <si>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</si>
  <si>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</si>
  <si>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</si>
  <si>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</si>
  <si>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</si>
  <si>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</si>
  <si>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</si>
  <si>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</si>
  <si>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</si>
  <si>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</si>
  <si>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</si>
  <si>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</si>
  <si>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</si>
  <si>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</si>
  <si>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</si>
  <si>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</si>
  <si>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</si>
  <si>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</si>
  <si>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</si>
  <si>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</si>
  <si>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</si>
  <si>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</si>
  <si>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</si>
  <si>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</si>
  <si>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</si>
  <si>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</si>
  <si>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</si>
  <si>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</si>
  <si>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</si>
  <si>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</si>
  <si>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</si>
  <si>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</si>
  <si>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</si>
  <si>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</si>
  <si>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</si>
  <si>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</si>
  <si>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</si>
  <si>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</si>
  <si>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</si>
  <si>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</si>
  <si>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</si>
  <si>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</si>
  <si>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</si>
  <si>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</si>
  <si>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</si>
  <si>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</si>
  <si>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</si>
  <si>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</si>
  <si>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</si>
  <si>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</si>
  <si>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</si>
  <si>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</si>
  <si>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</si>
  <si>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</si>
  <si>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</si>
  <si>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</si>
  <si>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</si>
  <si>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</si>
  <si>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</si>
  <si>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</si>
  <si>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</si>
  <si>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</si>
  <si>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</si>
  <si>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</si>
  <si>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</si>
  <si>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</si>
  <si>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</si>
  <si>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</si>
  <si>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</si>
  <si>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</si>
  <si>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</si>
  <si>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</si>
  <si>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</si>
  <si>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 usable EV/EBITDA (EBITDA is not positive), so the exit multiple falls back to 8x.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</si>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</sst>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-0.15881315174609145</v>
      </c>
    </row>
    <row r="7" spans="1:2" x14ac:dyDescent="0.25">
      <c r="A7" t="s">
        <v>4</v>
      </c>
      <c r="B7" s="5">
        <v>0.045154952473848126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0.029578662027920567</v>
      </c>
    </row>
    <row r="10" spans="1:3" x14ac:dyDescent="0.25">
      <c r="A10" t="s">
        <v>7</v>
      </c>
      <c r="B10" s="5">
        <v>0.021310155045992745</v>
      </c>
      <c r="C10" s="6" t="s">
        <v>8</v>
      </c>
    </row>
    <row r="11" spans="1:2" x14ac:dyDescent="0.25">
      <c r="A11" t="s">
        <v>9</v>
      </c>
      <c r="B11" s="5">
        <v>0.16910860066735556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5">
        <v>0.08479631731807961</v>
      </c>
      <c r="C14" s="6" t="s">
        <v>13</v>
      </c>
    </row>
    <row r="15" spans="1:3" x14ac:dyDescent="0.25">
      <c r="A15" t="s">
        <v>14</v>
      </c>
      <c r="B15" s="5">
        <v>0.029578662027920567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1.4227699999999999</v>
      </c>
      <c r="C19" s="6" t="s">
        <v>21</v>
      </c>
    </row>
    <row r="20" spans="1:2" x14ac:dyDescent="0.25">
      <c r="A20" t="s">
        <v>22</v>
      </c>
      <c r="B20" s="9">
        <f>B17+B19*B18</f>
        <v>0.10912317099999999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12200519680</v>
      </c>
    </row>
    <row r="23" spans="1:2" x14ac:dyDescent="0.25">
      <c r="A23" t="s">
        <v>26</v>
      </c>
      <c r="B23" s="10">
        <v>9784500000</v>
      </c>
    </row>
    <row r="24" spans="1:2" x14ac:dyDescent="0.25">
      <c r="A24" t="s">
        <v>27</v>
      </c>
      <c r="B24" s="9">
        <f>B22/(B22+B23)</f>
        <v>0.5549469528607672</v>
      </c>
    </row>
    <row r="25" spans="1:2" x14ac:dyDescent="0.25">
      <c r="A25" t="s">
        <v>28</v>
      </c>
      <c r="B25" s="9">
        <f>1-B24</f>
        <v>0.44505304713923277</v>
      </c>
    </row>
    <row r="26" spans="1:2" x14ac:dyDescent="0.25">
      <c r="A26" t="s">
        <v>29</v>
      </c>
      <c r="B26" s="11">
        <f>B24*B20+B25*B21*(1-B8)</f>
        <v>0.08479631731807961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6377100000</v>
      </c>
      <c r="C29" s="6" t="s">
        <v>32</v>
      </c>
    </row>
    <row r="30" spans="1:2" x14ac:dyDescent="0.25">
      <c r="A30" t="s">
        <v>33</v>
      </c>
      <c r="B30" s="10">
        <v>7804700000</v>
      </c>
    </row>
    <row r="31" spans="1:2" x14ac:dyDescent="0.25">
      <c r="A31" t="s">
        <v>34</v>
      </c>
      <c r="B31" s="12">
        <v>455000000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-0.15881315174609145</v>
      </c>
      <c r="C5" s="5">
        <v>0.0751387537460042</v>
      </c>
      <c r="D5" s="5">
        <v>0.06887140952775368</v>
      </c>
      <c r="E5" s="5">
        <v>0.06260406530950316</v>
      </c>
      <c r="F5" s="5">
        <v>0.05633672109125263</v>
      </c>
      <c r="G5" s="5">
        <v>0.0500693768730021</v>
      </c>
      <c r="H5" s="5">
        <v>0.04380203265475158</v>
      </c>
      <c r="I5" s="5">
        <v>0.037534688436501054</v>
      </c>
      <c r="J5" s="5">
        <v>0.031267344218250524</v>
      </c>
      <c r="K5" s="5">
        <v>0.025</v>
      </c>
    </row>
    <row r="6" spans="1:11" x14ac:dyDescent="0.25">
      <c r="A6" t="s">
        <v>50</v>
      </c>
      <c r="B6" s="18">
        <f>Assumptions!B29*(1+B5)</f>
        <v>5364332650</v>
      </c>
      <c r="C6" s="18">
        <f>B6*(1+C5)</f>
        <v>5767401920</v>
      </c>
      <c r="D6" s="18">
        <f>C6*(1+D5)</f>
        <v>6164611019.543472</v>
      </c>
      <c r="E6" s="18">
        <f>D6*(1+E5)</f>
        <v>6550540730.418655</v>
      </c>
      <c r="F6" s="18">
        <f>E6*(1+F5)</f>
        <v>6919576716.545141</v>
      </c>
      <c r="G6" s="18">
        <f>F6*(1+G5)</f>
        <v>7266035610.96749</v>
      </c>
      <c r="H6" s="18">
        <f>G6*(1+H5)</f>
        <v>7584302740.069676</v>
      </c>
      <c r="I6" s="18">
        <f>H6*(1+I5)</f>
        <v>7868977180.426293</v>
      </c>
      <c r="J6" s="18">
        <f>I6*(1+J5)</f>
        <v>8115019198.572241</v>
      </c>
      <c r="K6" s="18">
        <f>J6*(1+K5)</f>
        <v>8317894678.536546</v>
      </c>
    </row>
    <row r="7" spans="1:11" x14ac:dyDescent="0.25">
      <c r="A7" t="s">
        <v>4</v>
      </c>
      <c r="B7" s="9">
        <f>Assumptions!B7</f>
        <v>0.045154952473848126</v>
      </c>
      <c r="C7" s="9">
        <f>Assumptions!B7</f>
        <v>0.045154952473848126</v>
      </c>
      <c r="D7" s="9">
        <f>Assumptions!B7</f>
        <v>0.045154952473848126</v>
      </c>
      <c r="E7" s="9">
        <f>Assumptions!B7</f>
        <v>0.045154952473848126</v>
      </c>
      <c r="F7" s="9">
        <f>Assumptions!B7</f>
        <v>0.045154952473848126</v>
      </c>
      <c r="G7" s="9">
        <f>Assumptions!B7</f>
        <v>0.045154952473848126</v>
      </c>
      <c r="H7" s="9">
        <f>Assumptions!B7</f>
        <v>0.045154952473848126</v>
      </c>
      <c r="I7" s="9">
        <f>Assumptions!B7</f>
        <v>0.045154952473848126</v>
      </c>
      <c r="J7" s="9">
        <f>Assumptions!B7</f>
        <v>0.045154952473848126</v>
      </c>
      <c r="K7" s="9">
        <f>Assumptions!B7</f>
        <v>0.045154952473848126</v>
      </c>
    </row>
    <row r="8" spans="1:11" x14ac:dyDescent="0.25">
      <c r="A8" t="s">
        <v>51</v>
      </c>
      <c r="B8" s="18">
        <f>B6*B7</f>
        <v>242226185.86466178</v>
      </c>
      <c r="C8" s="18">
        <f>C6*C7</f>
        <v>260426759.59518042</v>
      </c>
      <c r="D8" s="18">
        <f>D6*D7</f>
        <v>278362717.6072459</v>
      </c>
      <c r="E8" s="18">
        <f>E6*E7</f>
        <v>295789355.36006075</v>
      </c>
      <c r="F8" s="18">
        <f>F6*F7</f>
        <v>312453157.7747419</v>
      </c>
      <c r="G8" s="18">
        <f>G6*G7</f>
        <v>328097492.68652505</v>
      </c>
      <c r="H8" s="18">
        <f>H6*H7</f>
        <v>342468829.77512234</v>
      </c>
      <c r="I8" s="18">
        <f>I6*I7</f>
        <v>355323290.5999447</v>
      </c>
      <c r="J8" s="18">
        <f>J6*J7</f>
        <v>366433306.2358946</v>
      </c>
      <c r="K8" s="18">
        <f>K6*K7</f>
        <v>375594138.89179194</v>
      </c>
    </row>
    <row r="9" spans="1:11" x14ac:dyDescent="0.25">
      <c r="A9" t="s">
        <v>52</v>
      </c>
      <c r="B9" s="18">
        <f>B8*(1-Assumptions!B8)</f>
        <v>191358686.83308282</v>
      </c>
      <c r="C9" s="18">
        <f>C8*(1-Assumptions!B8)</f>
        <v>205737140.08019254</v>
      </c>
      <c r="D9" s="18">
        <f>D8*(1-Assumptions!B8)</f>
        <v>219906546.9097243</v>
      </c>
      <c r="E9" s="18">
        <f>E8*(1-Assumptions!B8)</f>
        <v>233673590.73444802</v>
      </c>
      <c r="F9" s="18">
        <f>F8*(1-Assumptions!B8)</f>
        <v>246837994.6420461</v>
      </c>
      <c r="G9" s="18">
        <f>G8*(1-Assumptions!B8)</f>
        <v>259197019.2223548</v>
      </c>
      <c r="H9" s="18">
        <f>H8*(1-Assumptions!B8)</f>
        <v>270550375.5223467</v>
      </c>
      <c r="I9" s="18">
        <f>I8*(1-Assumptions!B8)</f>
        <v>280705399.5739563</v>
      </c>
      <c r="J9" s="18">
        <f>J8*(1-Assumptions!B8)</f>
        <v>289482311.9263568</v>
      </c>
      <c r="K9" s="18">
        <f>K8*(1-Assumptions!B8)</f>
        <v>296719369.7245156</v>
      </c>
    </row>
    <row r="10" spans="1:11" x14ac:dyDescent="0.25">
      <c r="A10" t="s">
        <v>53</v>
      </c>
      <c r="B10" s="18">
        <f>B6*Assumptions!B9</f>
        <v>158669782.4596895</v>
      </c>
      <c r="C10" s="18">
        <f>C6*Assumptions!B9</f>
        <v>170592032.17086017</v>
      </c>
      <c r="D10" s="18">
        <f>D6*Assumptions!B9</f>
        <v>182340945.8806712</v>
      </c>
      <c r="E10" s="18">
        <f>E6*Assumptions!B9</f>
        <v>193756230.36518133</v>
      </c>
      <c r="F10" s="18">
        <f>F6*Assumptions!B9</f>
        <v>204671821.07495704</v>
      </c>
      <c r="G10" s="18">
        <f>G6*Assumptions!B9</f>
        <v>214919611.61964273</v>
      </c>
      <c r="H10" s="18">
        <f>H6*Assumptions!B9</f>
        <v>224333527.46595284</v>
      </c>
      <c r="I10" s="18">
        <f>I6*Assumptions!B9</f>
        <v>232753816.52524865</v>
      </c>
      <c r="J10" s="18">
        <f>J6*Assumptions!B9</f>
        <v>240031410.22465512</v>
      </c>
      <c r="K10" s="18">
        <f>K6*Assumptions!B9</f>
        <v>246032195.4802715</v>
      </c>
    </row>
    <row r="11" spans="1:11" x14ac:dyDescent="0.25">
      <c r="A11" t="s">
        <v>54</v>
      </c>
      <c r="B11" s="18">
        <f>-B6*B19</f>
        <v>-114314760.48978114</v>
      </c>
      <c r="C11" s="18">
        <f>-C6*C19</f>
        <v>-134942459.70665678</v>
      </c>
      <c r="D11" s="18">
        <f>-D6*D19</f>
        <v>-157103457.59888586</v>
      </c>
      <c r="E11" s="18">
        <f>-E6*E19</f>
        <v>-180611639.77797687</v>
      </c>
      <c r="F11" s="18">
        <f>-F6*F19</f>
        <v>-205229858.91123727</v>
      </c>
      <c r="G11" s="18">
        <f>-G6*G19</f>
        <v>-230671901.21846583</v>
      </c>
      <c r="H11" s="18">
        <f>-H6*H19</f>
        <v>-256606425.78047842</v>
      </c>
      <c r="I11" s="18">
        <f>-I6*I19</f>
        <v>-282662892.06540114</v>
      </c>
      <c r="J11" s="18">
        <f>-J6*J19</f>
        <v>-308439394.67884386</v>
      </c>
      <c r="K11" s="18">
        <f>-K6*K19</f>
        <v>-333512223.83206034</v>
      </c>
    </row>
    <row r="12" spans="1:11" x14ac:dyDescent="0.25">
      <c r="A12" t="s">
        <v>55</v>
      </c>
      <c r="B12" s="18">
        <f>-(B6-Assumptions!B29)*Assumptions!B11</f>
        <v>171267669.3600859</v>
      </c>
      <c r="C12" s="18">
        <f>-(C6-B6)*Assumptions!B11</f>
        <v>-68162480.22171251</v>
      </c>
      <c r="D12" s="18">
        <f>-(D6-C6)*Assumptions!B11</f>
        <v>-67171474.99613693</v>
      </c>
      <c r="E12" s="18">
        <f>-(E6-D6)*Assumptions!B11</f>
        <v>-65264033.362059325</v>
      </c>
      <c r="F12" s="18">
        <f>-(F6-E6)*Assumptions!B11</f>
        <v>-62407159.20974766</v>
      </c>
      <c r="G12" s="18">
        <f>-(G6-F6)*Assumptions!B11</f>
        <v>-58589178.82452251</v>
      </c>
      <c r="H12" s="18">
        <f>-(H6-G6)*Assumptions!B11</f>
        <v>-53821708.8408873</v>
      </c>
      <c r="I12" s="18">
        <f>-(I6-H6)*Assumptions!B11</f>
        <v>-48140896.254470065</v>
      </c>
      <c r="J12" s="18">
        <f>-(J6-I6)*Assumptions!B11</f>
        <v>-41607821.394033276</v>
      </c>
      <c r="K12" s="18">
        <f>-(K6-J6)*Assumptions!B11</f>
        <v>-34307988.52648173</v>
      </c>
    </row>
    <row r="13" spans="1:11" x14ac:dyDescent="0.25">
      <c r="A13" s="19" t="s">
        <v>56</v>
      </c>
      <c r="B13" s="20">
        <f>B9+B10+B11+B12</f>
        <v>406981378.16307706</v>
      </c>
      <c r="C13" s="20">
        <f>C9+C10+C11+C12</f>
        <v>173224232.32268345</v>
      </c>
      <c r="D13" s="20">
        <f>D9+D10+D11+D12</f>
        <v>177972560.1953727</v>
      </c>
      <c r="E13" s="20">
        <f>E9+E10+E11+E12</f>
        <v>181554147.95959315</v>
      </c>
      <c r="F13" s="20">
        <f>F9+F10+F11+F12</f>
        <v>183872797.5960182</v>
      </c>
      <c r="G13" s="20">
        <f>G9+G10+G11+G12</f>
        <v>184855550.79900914</v>
      </c>
      <c r="H13" s="20">
        <f>H9+H10+H11+H12</f>
        <v>184455768.36693376</v>
      </c>
      <c r="I13" s="20">
        <f>I9+I10+I11+I12</f>
        <v>182655427.77933377</v>
      </c>
      <c r="J13" s="20">
        <f>J9+J10+J11+J12</f>
        <v>179466506.0781348</v>
      </c>
      <c r="K13" s="20">
        <f>K9+K10+K11+K12</f>
        <v>174931352.84624505</v>
      </c>
    </row>
    <row r="14" spans="1:11" x14ac:dyDescent="0.25">
      <c r="A14" t="s">
        <v>57</v>
      </c>
      <c r="B14" s="21">
        <f>1/(1+Assumptions!$B$26)^(1-0.5*Assumptions!$B$32)</f>
        <v>0.9601208455149917</v>
      </c>
      <c r="C14" s="21">
        <f>1/(1+Assumptions!$B$26)^(2-0.5*Assumptions!$B$32)</f>
        <v>0.8850701557400925</v>
      </c>
      <c r="D14" s="21">
        <f>1/(1+Assumptions!$B$26)^(3-0.5*Assumptions!$B$32)</f>
        <v>0.8158860254321602</v>
      </c>
      <c r="E14" s="21">
        <f>1/(1+Assumptions!$B$26)^(4-0.5*Assumptions!$B$32)</f>
        <v>0.7521098775936658</v>
      </c>
      <c r="F14" s="21">
        <f>1/(1+Assumptions!$B$26)^(5-0.5*Assumptions!$B$32)</f>
        <v>0.6933189812564003</v>
      </c>
      <c r="G14" s="21">
        <f>1/(1+Assumptions!$B$26)^(6-0.5*Assumptions!$B$32)</f>
        <v>0.6391236494704176</v>
      </c>
      <c r="H14" s="21">
        <f>1/(1+Assumptions!$B$26)^(7-0.5*Assumptions!$B$32)</f>
        <v>0.5891646563204697</v>
      </c>
      <c r="I14" s="21">
        <f>1/(1+Assumptions!$B$26)^(8-0.5*Assumptions!$B$32)</f>
        <v>0.5431108558490038</v>
      </c>
      <c r="J14" s="21">
        <f>1/(1+Assumptions!$B$26)^(9-0.5*Assumptions!$B$32)</f>
        <v>0.5006569871030959</v>
      </c>
      <c r="K14" s="21">
        <f>1/(1+Assumptions!$B$26)^(10-0.5*Assumptions!$B$32)</f>
        <v>0.4615216507563928</v>
      </c>
    </row>
    <row r="15" spans="1:11" x14ac:dyDescent="0.25">
      <c r="A15" s="19" t="s">
        <v>58</v>
      </c>
      <c r="B15" s="20">
        <f>B13*B14</f>
        <v>390751304.9107901</v>
      </c>
      <c r="C15" s="20">
        <f>C13*C14</f>
        <v>153315598.2797954</v>
      </c>
      <c r="D15" s="20">
        <f>D13*D14</f>
        <v>145205324.7737885</v>
      </c>
      <c r="E15" s="20">
        <f>E13*E14</f>
        <v>136548667.99851188</v>
      </c>
      <c r="F15" s="20">
        <f>F13*F14</f>
        <v>127482500.71003564</v>
      </c>
      <c r="G15" s="20">
        <f>G13*G14</f>
        <v>118145554.25152689</v>
      </c>
      <c r="H15" s="20">
        <f>H13*H14</f>
        <v>108674819.37623268</v>
      </c>
      <c r="I15" s="20">
        <f>I13*I14</f>
        <v>99202145.70669986</v>
      </c>
      <c r="J15" s="20">
        <f>J13*J14</f>
        <v>89851160.21899842</v>
      </c>
      <c r="K15" s="20">
        <f>K13*K14</f>
        <v>80734606.73464802</v>
      </c>
    </row>
    <row r="17" spans="1:2" x14ac:dyDescent="0.25">
      <c r="A17" s="22" t="s">
        <v>59</v>
      </c>
      <c r="B17" s="23">
        <f>SUM(B15:K15)</f>
        <v>1449911682.9610274</v>
      </c>
    </row>
    <row r="19" spans="1:11" x14ac:dyDescent="0.25">
      <c r="A19" t="s">
        <v>7</v>
      </c>
      <c r="B19" s="9">
        <f>Assumptions!$B$10+($B$20-Assumptions!$B$10)*0/9</f>
        <v>0.021310155045992745</v>
      </c>
      <c r="C19" s="9">
        <f>Assumptions!$B$10+($B$20-Assumptions!$B$10)*1/9</f>
        <v>0.0233974433511748</v>
      </c>
      <c r="D19" s="9">
        <f>Assumptions!$B$10+($B$20-Assumptions!$B$10)*2/9</f>
        <v>0.02548473165635686</v>
      </c>
      <c r="E19" s="9">
        <f>Assumptions!$B$10+($B$20-Assumptions!$B$10)*3/9</f>
        <v>0.027572019961538914</v>
      </c>
      <c r="F19" s="9">
        <f>Assumptions!$B$10+($B$20-Assumptions!$B$10)*4/9</f>
        <v>0.029659308266720974</v>
      </c>
      <c r="G19" s="9">
        <f>Assumptions!$B$10+($B$20-Assumptions!$B$10)*5/9</f>
        <v>0.03174659657190303</v>
      </c>
      <c r="H19" s="9">
        <f>Assumptions!$B$10+($B$20-Assumptions!$B$10)*6/9</f>
        <v>0.03383388487708509</v>
      </c>
      <c r="I19" s="9">
        <f>Assumptions!$B$10+($B$20-Assumptions!$B$10)*7/9</f>
        <v>0.035921173182267147</v>
      </c>
      <c r="J19" s="9">
        <f>Assumptions!$B$10+($B$20-Assumptions!$B$10)*8/9</f>
        <v>0.0380084614874492</v>
      </c>
      <c r="K19" s="9">
        <f>Assumptions!$B$10+($B$20-Assumptions!$B$10)*9/9</f>
        <v>0.04009574979263126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0.04009574979263126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174931352.84624505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296719369.7245156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0.29482412433340066</v>
      </c>
    </row>
    <row r="7" spans="1:2" x14ac:dyDescent="0.25">
      <c r="A7" t="s">
        <v>66</v>
      </c>
      <c r="B7" s="18">
        <f>-MAX(B5,0)*B6</f>
        <v>-87480028.35178888</v>
      </c>
    </row>
    <row r="8" spans="1:2" x14ac:dyDescent="0.25">
      <c r="A8" t="s">
        <v>67</v>
      </c>
      <c r="B8" s="18">
        <f>IF(OR(Assumptions!$B$33=0,Assumptions!B12&lt;=0),B5,MAX(B5+B7,0))</f>
        <v>209239341.37272674</v>
      </c>
    </row>
    <row r="9" spans="1:2" x14ac:dyDescent="0.25">
      <c r="A9" t="s">
        <v>68</v>
      </c>
      <c r="B9" s="18">
        <f>B8*(1+Assumptions!B12)/(Assumptions!B26-Assumptions!B12)</f>
        <v>3586681162.4233437</v>
      </c>
    </row>
    <row r="10" spans="1:2" x14ac:dyDescent="0.25">
      <c r="A10" t="s">
        <v>69</v>
      </c>
      <c r="B10" s="18">
        <f>B9/(1+Assumptions!B26)^(10-0.5*Assumptions!B32)</f>
        <v>1655331010.8184793</v>
      </c>
    </row>
    <row r="11" spans="1:2" x14ac:dyDescent="0.25">
      <c r="A11" t="s">
        <v>70</v>
      </c>
      <c r="B11" s="18">
        <f>Forecast!B17+B10</f>
        <v>3105242693.7795067</v>
      </c>
    </row>
    <row r="12" spans="1:2" x14ac:dyDescent="0.25">
      <c r="A12" t="s">
        <v>71</v>
      </c>
      <c r="B12" s="18">
        <f>-Assumptions!B30</f>
        <v>-7804700000</v>
      </c>
    </row>
    <row r="13" spans="1:2" x14ac:dyDescent="0.25">
      <c r="A13" t="s">
        <v>72</v>
      </c>
      <c r="B13" s="18">
        <f>B11+B12</f>
        <v>-4699457306.220493</v>
      </c>
    </row>
    <row r="14" spans="1:2" x14ac:dyDescent="0.25">
      <c r="A14" s="19" t="s">
        <v>73</v>
      </c>
      <c r="B14" s="24">
        <f>B13/Assumptions!B31</f>
        <v>-10.328477596088996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621626334.3720634</v>
      </c>
    </row>
    <row r="18" spans="1:2" x14ac:dyDescent="0.25">
      <c r="A18" t="s">
        <v>68</v>
      </c>
      <c r="B18" s="18">
        <f>B17*Assumptions!B13</f>
        <v>4973010674.976507</v>
      </c>
    </row>
    <row r="19" spans="1:2" x14ac:dyDescent="0.25">
      <c r="A19" t="s">
        <v>69</v>
      </c>
      <c r="B19" s="18">
        <f>B18/(1+Assumptions!B26)^(10-0.5*Assumptions!B32)</f>
        <v>2295152095.9443207</v>
      </c>
    </row>
    <row r="20" spans="1:2" x14ac:dyDescent="0.25">
      <c r="A20" t="s">
        <v>70</v>
      </c>
      <c r="B20" s="18">
        <f>Forecast!B17+B19</f>
        <v>3745063778.905348</v>
      </c>
    </row>
    <row r="21" spans="1:2" x14ac:dyDescent="0.25">
      <c r="A21" t="s">
        <v>71</v>
      </c>
      <c r="B21" s="18">
        <f>-Assumptions!B30</f>
        <v>-7804700000</v>
      </c>
    </row>
    <row r="22" spans="1:2" x14ac:dyDescent="0.25">
      <c r="A22" t="s">
        <v>72</v>
      </c>
      <c r="B22" s="18">
        <f>B20+B21</f>
        <v>-4059636221.094652</v>
      </c>
    </row>
    <row r="23" spans="1:2" x14ac:dyDescent="0.25">
      <c r="A23" s="19" t="s">
        <v>73</v>
      </c>
      <c r="B23" s="25">
        <f>B22/Assumptions!B31</f>
        <v>-8.922277408999236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27.76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-10.328477596088996</v>
      </c>
    </row>
    <row r="29" spans="1:2" x14ac:dyDescent="0.25">
      <c r="A29" s="19" t="s">
        <v>81</v>
      </c>
      <c r="B29" s="11">
        <f>B28/B26-1</f>
        <v>-1.372063313980151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0.064796</v>
      </c>
      <c r="B5" s="31">
        <v>-7.9808192956136725</v>
      </c>
      <c r="C5" s="31">
        <v>-8.102405619638871</v>
      </c>
      <c r="D5" s="31">
        <v>-8.223991943664071</v>
      </c>
      <c r="E5" s="31">
        <v>-8.345578267689266</v>
      </c>
      <c r="F5" s="31">
        <v>-8.467164591714464</v>
      </c>
    </row>
    <row r="6" spans="1:6" x14ac:dyDescent="0.25">
      <c r="A6" s="30">
        <v>0.074796</v>
      </c>
      <c r="B6" s="31">
        <v>-9.22079236692381</v>
      </c>
      <c r="C6" s="31">
        <v>-9.320303514806922</v>
      </c>
      <c r="D6" s="31">
        <v>-9.419814662690035</v>
      </c>
      <c r="E6" s="31">
        <v>-9.519325810573147</v>
      </c>
      <c r="F6" s="31">
        <v>-9.61883695845626</v>
      </c>
    </row>
    <row r="7" spans="1:6" x14ac:dyDescent="0.25">
      <c r="A7" s="30">
        <v>0.084796</v>
      </c>
      <c r="B7" s="31">
        <v>-10.162455898254953</v>
      </c>
      <c r="C7" s="31">
        <v>-10.245454069040818</v>
      </c>
      <c r="D7" s="32">
        <v>-10.32845223982668</v>
      </c>
      <c r="E7" s="31">
        <v>-10.411450410612547</v>
      </c>
      <c r="F7" s="31">
        <v>-10.494448581398412</v>
      </c>
    </row>
    <row r="8" spans="1:6" x14ac:dyDescent="0.25">
      <c r="A8" s="30">
        <v>0.094796</v>
      </c>
      <c r="B8" s="31">
        <v>-10.900712661251346</v>
      </c>
      <c r="C8" s="31">
        <v>-10.970974147420959</v>
      </c>
      <c r="D8" s="31">
        <v>-11.041235633590572</v>
      </c>
      <c r="E8" s="31">
        <v>-11.111497119760186</v>
      </c>
      <c r="F8" s="31">
        <v>-11.181758605929803</v>
      </c>
    </row>
    <row r="9" spans="1:6" x14ac:dyDescent="0.25">
      <c r="A9" s="30">
        <v>0.104796</v>
      </c>
      <c r="B9" s="31">
        <v>-11.49419595481598</v>
      </c>
      <c r="C9" s="31">
        <v>-11.554394915990827</v>
      </c>
      <c r="D9" s="31">
        <v>-11.614593877165674</v>
      </c>
      <c r="E9" s="31">
        <v>-11.674792838340522</v>
      </c>
      <c r="F9" s="31">
        <v>-11.734991799515372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6377100000</v>
      </c>
      <c r="C5" s="18">
        <v>6067000000</v>
      </c>
      <c r="D5" s="18">
        <v>5716400000</v>
      </c>
      <c r="E5" s="18">
        <v>6048900000</v>
      </c>
      <c r="F5" s="6" t="s">
        <v>91</v>
      </c>
    </row>
    <row r="6" spans="1:6" x14ac:dyDescent="0.25">
      <c r="A6" t="s">
        <v>51</v>
      </c>
      <c r="B6" s="18">
        <v>-695700000</v>
      </c>
      <c r="C6" s="18">
        <v>832100000</v>
      </c>
      <c r="D6" s="18">
        <v>-393200000</v>
      </c>
      <c r="E6" s="18">
        <v>1338900000</v>
      </c>
      <c r="F6" s="6" t="s">
        <v>92</v>
      </c>
    </row>
    <row r="7" spans="1:6" x14ac:dyDescent="0.25">
      <c r="A7" t="s">
        <v>93</v>
      </c>
      <c r="B7" s="18">
        <v>155900000</v>
      </c>
      <c r="C7" s="18">
        <v>179600000</v>
      </c>
      <c r="D7" s="18">
        <v>182800000</v>
      </c>
      <c r="E7" s="18">
        <v>195300000</v>
      </c>
      <c r="F7" s="6" t="s">
        <v>94</v>
      </c>
    </row>
    <row r="8" spans="1:6" x14ac:dyDescent="0.25">
      <c r="A8" t="s">
        <v>95</v>
      </c>
      <c r="B8" s="18">
        <v>84300000</v>
      </c>
      <c r="C8" s="18">
        <v>69100000</v>
      </c>
      <c r="D8" s="18">
        <v>164300000</v>
      </c>
      <c r="E8" s="18">
        <v>192900000</v>
      </c>
      <c r="F8" s="6" t="s">
        <v>96</v>
      </c>
    </row>
    <row r="9" spans="1:6" x14ac:dyDescent="0.25">
      <c r="A9" t="s">
        <v>97</v>
      </c>
      <c r="B9" s="18">
        <v>216400000</v>
      </c>
      <c r="C9" s="18">
        <v>-146200000</v>
      </c>
      <c r="D9" s="18">
        <v>173000000</v>
      </c>
      <c r="E9" s="18">
        <v>371500000</v>
      </c>
      <c r="F9" s="6" t="s">
        <v>98</v>
      </c>
    </row>
    <row r="10" spans="1:6" x14ac:dyDescent="0.25">
      <c r="A10" t="s">
        <v>99</v>
      </c>
      <c r="B10" s="18">
        <v>9784500000</v>
      </c>
      <c r="C10" s="18">
        <v>7546400000</v>
      </c>
      <c r="D10" s="18">
        <v>9045000000</v>
      </c>
      <c r="E10" s="18">
        <v>8558200000</v>
      </c>
      <c r="F10" s="6" t="s">
        <v>100</v>
      </c>
    </row>
    <row r="11" spans="1:6" x14ac:dyDescent="0.25">
      <c r="A11" t="s">
        <v>101</v>
      </c>
      <c r="B11" s="18">
        <v>1979800000</v>
      </c>
      <c r="C11" s="18">
        <v>1496000000</v>
      </c>
      <c r="D11" s="18">
        <v>1931600000</v>
      </c>
      <c r="E11" s="18">
        <v>1434100000</v>
      </c>
      <c r="F11" s="6" t="s">
        <v>102</v>
      </c>
    </row>
    <row r="12" spans="1:6" x14ac:dyDescent="0.25">
      <c r="A12" t="s">
        <v>34</v>
      </c>
      <c r="B12" s="34">
        <v>455000000</v>
      </c>
      <c r="C12" s="34">
        <v>457700000</v>
      </c>
      <c r="D12" s="34">
        <v>456200000</v>
      </c>
      <c r="E12" s="34">
        <v>459500000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