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<sst xmlns="http://schemas.openxmlformats.org/spreadsheetml/2006/main" count="113" uniqueCount="101">
  <si>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Invesco Ltd. (IVZ)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</si>
  <si>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</si>
  <si>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</si>
  <si>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</si>
  <si>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</si>
  <si>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</si>
  <si>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</si>
  <si>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</si>
  <si>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</si>
  <si>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</si>
  <si>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</si>
  <si>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</si>
  <si>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</si>
  <si>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</si>
  <si>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</si>
  <si>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</si>
  <si>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</si>
  <si>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</si>
  <si>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</si>
  <si>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</si>
  <si>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</si>
  <si>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</si>
  <si>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</si>
  <si>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</si>
  <si>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</si>
  <si>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</si>
  <si>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</si>
  <si>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</si>
  <si>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</si>
  <si>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</si>
  <si>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</si>
  <si>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</si>
  <si>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</si>
  <si>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</si>
  <si>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</si>
  <si>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</si>
  <si>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</si>
  <si>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</si>
  <si>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</si>
  <si>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</si>
  <si>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</si>
  <si>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</si>
  <si>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</si>
  <si>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</si>
  <si>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</si>
  <si>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</si>
  <si>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</si>
  <si>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</si>
  <si>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</si>
  <si>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</si>
  <si>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</si>
  <si>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</si>
  <si>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</si>
  <si>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</si>
  <si>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</si>
  <si>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</si>
  <si>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</si>
  <si>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</si>
  <si>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</si>
  <si>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</si>
  <si>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</si>
  <si>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</si>
  <si>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</si>
  <si>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</si>
  <si>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</si>
  <si>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</si>
  <si>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</si>
  <si>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</si>
  <si>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</si>
  <si>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</si>
  <si>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</si>
  <si>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</si>
  <si>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</si>
  <si>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</si>
  <si>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</si>
  <si>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</si>
  <si>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</si>
  <si>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</si>
  <si>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</si>
  <si>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</si>
  <si>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</si>
  <si>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</si>
  <si>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</si>
  <si>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</si>
  <si>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</si>
  <si>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</si>
  <si>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</si>
  <si>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</si>
  <si>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</si>
  <si>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</si>
  <si>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</si>
  <si>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</si>
  <si>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</si>
  <si>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</si>
  <si>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</si>
  <si>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</si>
  <si>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</si>
  <si>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</si>
  <si>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</si>
  <si>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 usable EV/EBITDA (EBITDA is not positive), so the exit multiple falls back to 8x.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</si>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</sst>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0.01776834885182499</v>
      </c>
    </row>
    <row r="7" spans="1:2" x14ac:dyDescent="0.25">
      <c r="A7" t="s">
        <v>5</v>
      </c>
      <c r="B7" s="6">
        <v>0.045154952473848126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0.029578662027920567</v>
      </c>
    </row>
    <row r="10" spans="1:2" x14ac:dyDescent="0.25">
      <c r="A10" t="s">
        <v>8</v>
      </c>
      <c r="B10" s="6">
        <v>0.021310155045992745</v>
      </c>
    </row>
    <row r="11" spans="1:2" x14ac:dyDescent="0.25">
      <c r="A11" t="s">
        <v>9</v>
      </c>
      <c r="B11" s="6">
        <v>-0.416999429549344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0.09035022060742669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1.4053499999999999</v>
      </c>
      <c r="C19" s="8" t="s">
        <v>19</v>
      </c>
    </row>
    <row r="20" spans="1:2" x14ac:dyDescent="0.25">
      <c r="A20" t="s">
        <v>20</v>
      </c>
      <c r="B20" s="10">
        <f>B17+B19*B18</f>
        <v>0.12727425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13478988800</v>
      </c>
    </row>
    <row r="23" spans="1:2" x14ac:dyDescent="0.25">
      <c r="A23" t="s">
        <v>24</v>
      </c>
      <c r="B23" s="11">
        <v>9784500000</v>
      </c>
    </row>
    <row r="24" spans="1:2" x14ac:dyDescent="0.25">
      <c r="A24" t="s">
        <v>25</v>
      </c>
      <c r="B24" s="10">
        <f>B22/(B22+B23)</f>
        <v>0.5794053039886261</v>
      </c>
    </row>
    <row r="25" spans="1:2" x14ac:dyDescent="0.25">
      <c r="A25" t="s">
        <v>26</v>
      </c>
      <c r="B25" s="10">
        <f>1-B24</f>
        <v>0.4205946960113739</v>
      </c>
    </row>
    <row r="26" spans="1:2" x14ac:dyDescent="0.25">
      <c r="A26" t="s">
        <v>27</v>
      </c>
      <c r="B26" s="12">
        <f>B24*B20+B25*B21*(1-B8)</f>
        <v>0.09035022060742669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6377100000</v>
      </c>
      <c r="C29" s="8" t="s">
        <v>30</v>
      </c>
    </row>
    <row r="30" spans="1:2" x14ac:dyDescent="0.25">
      <c r="A30" t="s">
        <v>31</v>
      </c>
      <c r="B30" s="11">
        <v>7804700000</v>
      </c>
    </row>
    <row r="31" spans="1:2" x14ac:dyDescent="0.25">
      <c r="A31" t="s">
        <v>32</v>
      </c>
      <c r="B31" s="13">
        <v>455000000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0.01776834885182499</v>
      </c>
      <c r="C5" s="10">
        <f>Assumptions!B6</f>
        <v>0.01776834885182499</v>
      </c>
      <c r="D5" s="10">
        <f>Assumptions!B6</f>
        <v>0.01776834885182499</v>
      </c>
      <c r="E5" s="10">
        <f>Assumptions!B6</f>
        <v>0.01776834885182499</v>
      </c>
      <c r="F5" s="10">
        <f>Assumptions!B6</f>
        <v>0.01776834885182499</v>
      </c>
    </row>
    <row r="6" spans="1:6" x14ac:dyDescent="0.25">
      <c r="A6" t="s">
        <v>43</v>
      </c>
      <c r="B6" s="18">
        <f>Assumptions!B29*(1+B5)</f>
        <v>6490410537.462974</v>
      </c>
      <c r="C6" s="18">
        <f>B6*(1+C5)</f>
        <v>6605734416.084177</v>
      </c>
      <c r="D6" s="18">
        <f>C6*(1+D5)</f>
        <v>6723107409.611667</v>
      </c>
      <c r="E6" s="18">
        <f>D6*(1+E5)</f>
        <v>6842565927.433936</v>
      </c>
      <c r="F6" s="18">
        <f>E6*(1+F5)</f>
        <v>6964147025.874194</v>
      </c>
    </row>
    <row r="7" spans="1:6" x14ac:dyDescent="0.25">
      <c r="A7" t="s">
        <v>5</v>
      </c>
      <c r="B7" s="10">
        <f>Assumptions!B7</f>
        <v>0.045154952473848126</v>
      </c>
      <c r="C7" s="10">
        <f>Assumptions!B7</f>
        <v>0.045154952473848126</v>
      </c>
      <c r="D7" s="10">
        <f>Assumptions!B7</f>
        <v>0.045154952473848126</v>
      </c>
      <c r="E7" s="10">
        <f>Assumptions!B7</f>
        <v>0.045154952473848126</v>
      </c>
      <c r="F7" s="10">
        <f>Assumptions!B7</f>
        <v>0.045154952473848126</v>
      </c>
    </row>
    <row r="8" spans="1:6" x14ac:dyDescent="0.25">
      <c r="A8" t="s">
        <v>44</v>
      </c>
      <c r="B8" s="18">
        <f>B6*B7</f>
        <v>293074179.35490364</v>
      </c>
      <c r="C8" s="18">
        <f>C6*C7</f>
        <v>298281623.6131439</v>
      </c>
      <c r="D8" s="18">
        <f>D6*D7</f>
        <v>303581595.557591</v>
      </c>
      <c r="E8" s="18">
        <f>E6*E7</f>
        <v>308975739.2524519</v>
      </c>
      <c r="F8" s="18">
        <f>F6*F7</f>
        <v>314465727.97424</v>
      </c>
    </row>
    <row r="9" spans="1:6" x14ac:dyDescent="0.25">
      <c r="A9" t="s">
        <v>45</v>
      </c>
      <c r="B9" s="18">
        <f>B8*(1-Assumptions!B8)</f>
        <v>231528601.6903739</v>
      </c>
      <c r="C9" s="18">
        <f>C8*(1-Assumptions!B8)</f>
        <v>235642482.65438372</v>
      </c>
      <c r="D9" s="18">
        <f>D8*(1-Assumptions!B8)</f>
        <v>239829460.4904969</v>
      </c>
      <c r="E9" s="18">
        <f>E8*(1-Assumptions!B8)</f>
        <v>244090834.009437</v>
      </c>
      <c r="F9" s="18">
        <f>F8*(1-Assumptions!B8)</f>
        <v>248427925.0996496</v>
      </c>
    </row>
    <row r="10" spans="1:6" x14ac:dyDescent="0.25">
      <c r="A10" t="s">
        <v>46</v>
      </c>
      <c r="B10" s="18">
        <f>B6*Assumptions!B9</f>
        <v>191977659.71007156</v>
      </c>
      <c r="C10" s="18">
        <f>C6*Assumptions!B9</f>
        <v>195388785.7395571</v>
      </c>
      <c r="D10" s="18">
        <f>D6*Assumptions!B9</f>
        <v>198860521.84631202</v>
      </c>
      <c r="E10" s="18">
        <f>E6*Assumptions!B9</f>
        <v>202393944.97133324</v>
      </c>
      <c r="F10" s="18">
        <f>F6*Assumptions!B9</f>
        <v>205990151.191081</v>
      </c>
    </row>
    <row r="11" spans="1:6" x14ac:dyDescent="0.25">
      <c r="A11" t="s">
        <v>47</v>
      </c>
      <c r="B11" s="18">
        <f>-B6*Assumptions!B10</f>
        <v>-138311654.86548108</v>
      </c>
      <c r="C11" s="18">
        <f>-C6*Assumptions!B10</f>
        <v>-140769224.59940416</v>
      </c>
      <c r="D11" s="18">
        <f>-D6*Assumptions!B10</f>
        <v>-143270461.28968728</v>
      </c>
      <c r="E11" s="18">
        <f>-E6*Assumptions!B10</f>
        <v>-145816140.82604432</v>
      </c>
      <c r="F11" s="18">
        <f>-F6*Assumptions!B10</f>
        <v>-148407052.88446832</v>
      </c>
    </row>
    <row r="12" spans="1:6" x14ac:dyDescent="0.25">
      <c r="A12" t="s">
        <v>48</v>
      </c>
      <c r="B12" s="18">
        <f>-(B6-Assumptions!B29)*Assumptions!B11</f>
        <v>47250429.48398956</v>
      </c>
      <c r="C12" s="18">
        <f>-(C6-B6)*Assumptions!B11</f>
        <v>48089991.59845962</v>
      </c>
      <c r="D12" s="18">
        <f>-(D6-C6)*Assumptions!B11</f>
        <v>48944471.34546203</v>
      </c>
      <c r="E12" s="18">
        <f>-(E6-D6)*Assumptions!B11</f>
        <v>49814133.7866965</v>
      </c>
      <c r="F12" s="18">
        <f>-(F6-E6)*Assumptions!B11</f>
        <v>50699248.693570234</v>
      </c>
    </row>
    <row r="13" spans="1:6" x14ac:dyDescent="0.25">
      <c r="A13" s="19" t="s">
        <v>49</v>
      </c>
      <c r="B13" s="20">
        <f>B9+B10+B11+B12</f>
        <v>332445036.0189539</v>
      </c>
      <c r="C13" s="20">
        <f>C9+C10+C11+C12</f>
        <v>338352035.39299625</v>
      </c>
      <c r="D13" s="20">
        <f>D9+D10+D11+D12</f>
        <v>344363992.39258367</v>
      </c>
      <c r="E13" s="20">
        <f>E9+E10+E11+E12</f>
        <v>350482771.9414224</v>
      </c>
      <c r="F13" s="20">
        <f>F9+F10+F11+F12</f>
        <v>356710272.09983253</v>
      </c>
    </row>
    <row r="14" spans="1:6" x14ac:dyDescent="0.25">
      <c r="A14" t="s">
        <v>50</v>
      </c>
      <c r="B14" s="21">
        <f>1/(1+Assumptions!$B$26)^(1-0.5*Assumptions!$B$32)</f>
        <v>0.9576724459142525</v>
      </c>
      <c r="C14" s="21">
        <f>1/(1+Assumptions!$B$26)^(2-0.5*Assumptions!$B$32)</f>
        <v>0.8783163682772858</v>
      </c>
      <c r="D14" s="21">
        <f>1/(1+Assumptions!$B$26)^(3-0.5*Assumptions!$B$32)</f>
        <v>0.8055360118953172</v>
      </c>
      <c r="E14" s="21">
        <f>1/(1+Assumptions!$B$26)^(4-0.5*Assumptions!$B$32)</f>
        <v>0.7387864895799797</v>
      </c>
      <c r="F14" s="21">
        <f>1/(1+Assumptions!$B$26)^(5-0.5*Assumptions!$B$32)</f>
        <v>0.6775680653949946</v>
      </c>
    </row>
    <row r="15" spans="1:6" x14ac:dyDescent="0.25">
      <c r="A15" s="19" t="s">
        <v>51</v>
      </c>
      <c r="B15" s="20">
        <f>B13*B14</f>
        <v>318373450.7763234</v>
      </c>
      <c r="C15" s="20">
        <f>C13*C14</f>
        <v>297180130.9256041</v>
      </c>
      <c r="D15" s="20">
        <f>D13*D14</f>
        <v>277397597.0722712</v>
      </c>
      <c r="E15" s="20">
        <f>E13*E14</f>
        <v>258931936.74086407</v>
      </c>
      <c r="F15" s="20">
        <f>F13*F14</f>
        <v>241695488.97320566</v>
      </c>
    </row>
    <row r="17" spans="1:2" x14ac:dyDescent="0.25">
      <c r="A17" s="22" t="s">
        <v>52</v>
      </c>
      <c r="B17" s="23">
        <f>SUM(B15:F15)</f>
        <v>1393578604.4882684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356710272.09983253</v>
      </c>
    </row>
    <row r="5" spans="1:2" x14ac:dyDescent="0.25">
      <c r="A5" t="s">
        <v>56</v>
      </c>
      <c r="B5" s="18">
        <f>IF(Assumptions!$B$33=0,B4,B4-Forecast!F11-Forecast!F10-Forecast!F12)</f>
        <v>248427925.0996496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0.2767010399302227</v>
      </c>
    </row>
    <row r="7" spans="1:2" x14ac:dyDescent="0.25">
      <c r="A7" t="s">
        <v>58</v>
      </c>
      <c r="B7" s="18">
        <f>-MAX(Forecast!F9,0)*B6</f>
        <v>-68740265.22278053</v>
      </c>
    </row>
    <row r="8" spans="1:2" x14ac:dyDescent="0.25">
      <c r="A8" t="s">
        <v>59</v>
      </c>
      <c r="B8" s="18">
        <f>IF(OR(Assumptions!$B$33=0,Assumptions!B12&lt;=0),B5,MAX(B5+B7,0))</f>
        <v>179687659.87686908</v>
      </c>
    </row>
    <row r="9" spans="1:2" x14ac:dyDescent="0.25">
      <c r="A9" t="s">
        <v>60</v>
      </c>
      <c r="B9" s="18">
        <f>B8*(1+Assumptions!B12)/(Assumptions!B26-Assumptions!B12)</f>
        <v>2818350874.1340013</v>
      </c>
    </row>
    <row r="10" spans="1:2" x14ac:dyDescent="0.25">
      <c r="A10" t="s">
        <v>61</v>
      </c>
      <c r="B10" s="18">
        <f>B9/(1+Assumptions!B26)^(5-0.5*Assumptions!B32)</f>
        <v>1909624549.391267</v>
      </c>
    </row>
    <row r="11" spans="1:2" x14ac:dyDescent="0.25">
      <c r="A11" t="s">
        <v>62</v>
      </c>
      <c r="B11" s="18">
        <f>Forecast!B17+B10</f>
        <v>3303203153.8795357</v>
      </c>
    </row>
    <row r="12" spans="1:2" x14ac:dyDescent="0.25">
      <c r="A12" t="s">
        <v>63</v>
      </c>
      <c r="B12" s="18">
        <f>-Assumptions!B30</f>
        <v>-7804700000</v>
      </c>
    </row>
    <row r="13" spans="1:2" x14ac:dyDescent="0.25">
      <c r="A13" t="s">
        <v>64</v>
      </c>
      <c r="B13" s="18">
        <f>B11+B12</f>
        <v>-4501496846.120464</v>
      </c>
    </row>
    <row r="14" spans="1:2" x14ac:dyDescent="0.25">
      <c r="A14" s="19" t="s">
        <v>65</v>
      </c>
      <c r="B14" s="24">
        <f>B13/Assumptions!B31</f>
        <v>-9.893399661803219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520455879.165321</v>
      </c>
    </row>
    <row r="18" spans="1:2" x14ac:dyDescent="0.25">
      <c r="A18" t="s">
        <v>60</v>
      </c>
      <c r="B18" s="18">
        <f>B17*Assumptions!B13</f>
        <v>4163647033.322568</v>
      </c>
    </row>
    <row r="19" spans="1:2" x14ac:dyDescent="0.25">
      <c r="A19" t="s">
        <v>61</v>
      </c>
      <c r="B19" s="18">
        <f>B18/(1+Assumptions!B26)^(5-0.5*Assumptions!B32)</f>
        <v>2821154265.355981</v>
      </c>
    </row>
    <row r="20" spans="1:2" x14ac:dyDescent="0.25">
      <c r="A20" t="s">
        <v>62</v>
      </c>
      <c r="B20" s="18">
        <f>Forecast!B17+B19</f>
        <v>4214732869.8442492</v>
      </c>
    </row>
    <row r="21" spans="1:2" x14ac:dyDescent="0.25">
      <c r="A21" t="s">
        <v>63</v>
      </c>
      <c r="B21" s="18">
        <f>-Assumptions!B30</f>
        <v>-7804700000</v>
      </c>
    </row>
    <row r="22" spans="1:2" x14ac:dyDescent="0.25">
      <c r="A22" t="s">
        <v>64</v>
      </c>
      <c r="B22" s="18">
        <f>B20+B21</f>
        <v>-3589967130.1557508</v>
      </c>
    </row>
    <row r="23" spans="1:2" x14ac:dyDescent="0.25">
      <c r="A23" s="19" t="s">
        <v>65</v>
      </c>
      <c r="B23" s="25">
        <f>B22/Assumptions!B31</f>
        <v>-7.890037648693958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30.53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-9.893399661803219</v>
      </c>
    </row>
    <row r="29" spans="1:2" x14ac:dyDescent="0.25">
      <c r="A29" s="19" t="s">
        <v>73</v>
      </c>
      <c r="B29" s="12">
        <f>B28/B26-1</f>
        <v>-1.3240550167639442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0.07035</v>
      </c>
      <c r="B5" s="31">
        <v>-8.151059412999025</v>
      </c>
      <c r="C5" s="31">
        <v>-8.12248161528983</v>
      </c>
      <c r="D5" s="31">
        <v>-8.09390381758064</v>
      </c>
      <c r="E5" s="31">
        <v>-8.065326019871447</v>
      </c>
      <c r="F5" s="31">
        <v>-8.036748222162256</v>
      </c>
    </row>
    <row r="6" spans="1:6" x14ac:dyDescent="0.25">
      <c r="A6" s="30">
        <v>0.08035</v>
      </c>
      <c r="B6" s="31">
        <v>-9.151588286367577</v>
      </c>
      <c r="C6" s="31">
        <v>-9.127592610025253</v>
      </c>
      <c r="D6" s="31">
        <v>-9.10359693368293</v>
      </c>
      <c r="E6" s="31">
        <v>-9.079601257340606</v>
      </c>
      <c r="F6" s="31">
        <v>-9.055605580998282</v>
      </c>
    </row>
    <row r="7" spans="1:6" x14ac:dyDescent="0.25">
      <c r="A7" s="30">
        <v>0.09035</v>
      </c>
      <c r="B7" s="31">
        <v>-9.934330383427634</v>
      </c>
      <c r="C7" s="31">
        <v>-9.913857256107525</v>
      </c>
      <c r="D7" s="32">
        <v>-9.893384128787421</v>
      </c>
      <c r="E7" s="31">
        <v>-9.87291100146731</v>
      </c>
      <c r="F7" s="31">
        <v>-9.852437874147203</v>
      </c>
    </row>
    <row r="8" spans="1:6" x14ac:dyDescent="0.25">
      <c r="A8" s="30">
        <v>0.10035</v>
      </c>
      <c r="B8" s="31">
        <v>-10.564203869506427</v>
      </c>
      <c r="C8" s="31">
        <v>-10.546512851362479</v>
      </c>
      <c r="D8" s="31">
        <v>-10.528821833218535</v>
      </c>
      <c r="E8" s="31">
        <v>-10.511130815074587</v>
      </c>
      <c r="F8" s="31">
        <v>-10.49343979693064</v>
      </c>
    </row>
    <row r="9" spans="1:6" x14ac:dyDescent="0.25">
      <c r="A9" s="30">
        <v>0.11035</v>
      </c>
      <c r="B9" s="31">
        <v>-11.082606717411121</v>
      </c>
      <c r="C9" s="31">
        <v>-11.067160677729982</v>
      </c>
      <c r="D9" s="31">
        <v>-11.051714638048841</v>
      </c>
      <c r="E9" s="31">
        <v>-11.0362685983677</v>
      </c>
      <c r="F9" s="31">
        <v>-11.020822558686561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6377100000</v>
      </c>
      <c r="C5" s="18">
        <v>6067000000</v>
      </c>
      <c r="D5" s="18">
        <v>5716400000</v>
      </c>
      <c r="E5" s="18">
        <v>6048900000</v>
      </c>
      <c r="F5" s="8" t="s">
        <v>84</v>
      </c>
    </row>
    <row r="6" spans="1:6" x14ac:dyDescent="0.25">
      <c r="A6" t="s">
        <v>44</v>
      </c>
      <c r="B6" s="18">
        <v>-695700000</v>
      </c>
      <c r="C6" s="18">
        <v>832100000</v>
      </c>
      <c r="D6" s="18">
        <v>-393200000</v>
      </c>
      <c r="E6" s="18">
        <v>1338900000</v>
      </c>
      <c r="F6" s="8" t="s">
        <v>85</v>
      </c>
    </row>
    <row r="7" spans="1:6" x14ac:dyDescent="0.25">
      <c r="A7" t="s">
        <v>86</v>
      </c>
      <c r="B7" s="18">
        <v>155900000</v>
      </c>
      <c r="C7" s="18">
        <v>179600000</v>
      </c>
      <c r="D7" s="18">
        <v>182800000</v>
      </c>
      <c r="E7" s="18">
        <v>195300000</v>
      </c>
      <c r="F7" s="8" t="s">
        <v>87</v>
      </c>
    </row>
    <row r="8" spans="1:6" x14ac:dyDescent="0.25">
      <c r="A8" t="s">
        <v>88</v>
      </c>
      <c r="B8" s="18">
        <v>84300000</v>
      </c>
      <c r="C8" s="18">
        <v>69100000</v>
      </c>
      <c r="D8" s="18">
        <v>164300000</v>
      </c>
      <c r="E8" s="18">
        <v>192900000</v>
      </c>
      <c r="F8" s="8" t="s">
        <v>89</v>
      </c>
    </row>
    <row r="9" spans="1:6" x14ac:dyDescent="0.25">
      <c r="A9" t="s">
        <v>90</v>
      </c>
      <c r="B9" s="18">
        <v>216400000</v>
      </c>
      <c r="C9" s="18">
        <v>-146200000</v>
      </c>
      <c r="D9" s="18">
        <v>173000000</v>
      </c>
      <c r="E9" s="18">
        <v>371500000</v>
      </c>
      <c r="F9" s="8" t="s">
        <v>91</v>
      </c>
    </row>
    <row r="10" spans="1:6" x14ac:dyDescent="0.25">
      <c r="A10" t="s">
        <v>92</v>
      </c>
      <c r="B10" s="18">
        <v>9784500000</v>
      </c>
      <c r="C10" s="18">
        <v>7546400000</v>
      </c>
      <c r="D10" s="18">
        <v>9045000000</v>
      </c>
      <c r="E10" s="18">
        <v>8558200000</v>
      </c>
      <c r="F10" s="8" t="s">
        <v>93</v>
      </c>
    </row>
    <row r="11" spans="1:6" x14ac:dyDescent="0.25">
      <c r="A11" t="s">
        <v>94</v>
      </c>
      <c r="B11" s="18">
        <v>1979800000</v>
      </c>
      <c r="C11" s="18">
        <v>1496000000</v>
      </c>
      <c r="D11" s="18">
        <v>1931600000</v>
      </c>
      <c r="E11" s="18">
        <v>1434100000</v>
      </c>
      <c r="F11" s="8" t="s">
        <v>95</v>
      </c>
    </row>
    <row r="12" spans="1:6" x14ac:dyDescent="0.25">
      <c r="A12" t="s">
        <v>32</v>
      </c>
      <c r="B12" s="34">
        <v>455000000</v>
      </c>
      <c r="C12" s="34">
        <v>457700000</v>
      </c>
      <c r="D12" s="34">
        <v>456200000</v>
      </c>
      <c r="E12" s="34">
        <v>459500000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2026-09-19T00:07:07Z</dcterms:modified>
</cp:coreProperties>
</file>