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<sst xmlns="http://schemas.openxmlformats.org/spreadsheetml/2006/main" count="119" uniqueCount="106">
  <si>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Jacobs Solutions Inc. (J)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</si>
  <si>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</si>
  <si>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</si>
  <si>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</si>
  <si>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</si>
  <si>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</si>
  <si>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</si>
  <si>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</si>
  <si>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</si>
  <si>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</si>
  <si>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</si>
  <si>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</si>
  <si>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</si>
  <si>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</si>
  <si>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</si>
  <si>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</si>
  <si>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</si>
  <si>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</si>
  <si>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</si>
  <si>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</si>
  <si>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</si>
  <si>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</si>
  <si>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</si>
  <si>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</si>
  <si>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+ 70bp, the spread for a A+ rating at 5.9x interest cover. Book interest / average debt was lower, at 5.3%.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</si>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</sst>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0.24839237914765389</v>
      </c>
    </row>
    <row r="7" spans="1:2" x14ac:dyDescent="0.25">
      <c r="A7" t="s">
        <v>4</v>
      </c>
      <c r="B7" s="5">
        <v>0.06238108344277359</v>
      </c>
    </row>
    <row r="8" spans="1:2" x14ac:dyDescent="0.25">
      <c r="A8" t="s">
        <v>5</v>
      </c>
      <c r="B8" s="5">
        <v>0.1818408023197058</v>
      </c>
    </row>
    <row r="9" spans="1:2" x14ac:dyDescent="0.25">
      <c r="A9" t="s">
        <v>6</v>
      </c>
      <c r="B9" s="5">
        <v>0.02642031456849741</v>
      </c>
    </row>
    <row r="10" spans="1:3" x14ac:dyDescent="0.25">
      <c r="A10" t="s">
        <v>7</v>
      </c>
      <c r="B10" s="5">
        <v>0.010707860361914734</v>
      </c>
      <c r="C10" s="6" t="s">
        <v>8</v>
      </c>
    </row>
    <row r="11" spans="1:2" x14ac:dyDescent="0.25">
      <c r="A11" t="s">
        <v>9</v>
      </c>
      <c r="B11" s="5">
        <v>0.02038121138187397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17.77219415733602</v>
      </c>
    </row>
    <row r="14" spans="1:3" x14ac:dyDescent="0.25">
      <c r="A14" t="s">
        <v>12</v>
      </c>
      <c r="B14" s="5">
        <v>0.07787338011719017</v>
      </c>
      <c r="C14" s="6" t="s">
        <v>13</v>
      </c>
    </row>
    <row r="15" spans="1:3" x14ac:dyDescent="0.25">
      <c r="A15" t="s">
        <v>14</v>
      </c>
      <c r="B15" s="5">
        <v>0.008861447894115916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0.79766</v>
      </c>
      <c r="C19" s="6" t="s">
        <v>21</v>
      </c>
    </row>
    <row r="20" spans="1:2" x14ac:dyDescent="0.25">
      <c r="A20" t="s">
        <v>22</v>
      </c>
      <c r="B20" s="9">
        <f>B17+B19*B18</f>
        <v>0.082681018</v>
      </c>
    </row>
    <row r="21" spans="1:3" x14ac:dyDescent="0.25">
      <c r="A21" t="s">
        <v>23</v>
      </c>
      <c r="B21" s="5">
        <v>0.055940000000000004</v>
      </c>
      <c r="C21" s="6" t="s">
        <v>24</v>
      </c>
    </row>
    <row r="22" spans="1:2" x14ac:dyDescent="0.25">
      <c r="A22" t="s">
        <v>25</v>
      </c>
      <c r="B22" s="10">
        <v>18096508928</v>
      </c>
    </row>
    <row r="23" spans="1:2" x14ac:dyDescent="0.25">
      <c r="A23" t="s">
        <v>26</v>
      </c>
      <c r="B23" s="10">
        <v>2709857000</v>
      </c>
    </row>
    <row r="24" spans="1:2" x14ac:dyDescent="0.25">
      <c r="A24" t="s">
        <v>27</v>
      </c>
      <c r="B24" s="9">
        <f>B22/(B22+B23)</f>
        <v>0.8697582744926526</v>
      </c>
    </row>
    <row r="25" spans="1:2" x14ac:dyDescent="0.25">
      <c r="A25" t="s">
        <v>28</v>
      </c>
      <c r="B25" s="9">
        <f>1-B24</f>
        <v>0.13024172550734736</v>
      </c>
    </row>
    <row r="26" spans="1:2" x14ac:dyDescent="0.25">
      <c r="A26" t="s">
        <v>29</v>
      </c>
      <c r="B26" s="11">
        <f>B24*B20+B25*B21*(1-B8)</f>
        <v>0.07787338011719017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12029783000</v>
      </c>
      <c r="C29" s="6" t="s">
        <v>32</v>
      </c>
    </row>
    <row r="30" spans="1:2" x14ac:dyDescent="0.25">
      <c r="A30" t="s">
        <v>33</v>
      </c>
      <c r="B30" s="10">
        <v>1474409000</v>
      </c>
    </row>
    <row r="31" spans="1:2" x14ac:dyDescent="0.25">
      <c r="A31" t="s">
        <v>34</v>
      </c>
      <c r="B31" s="12">
        <v>121932000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0.24839237914765389</v>
      </c>
      <c r="C5" s="5">
        <v>0.04218601910573927</v>
      </c>
      <c r="D5" s="5">
        <v>0.040037766717521864</v>
      </c>
      <c r="E5" s="5">
        <v>0.03788951432930445</v>
      </c>
      <c r="F5" s="5">
        <v>0.035741261941087045</v>
      </c>
      <c r="G5" s="5">
        <v>0.03359300955286963</v>
      </c>
      <c r="H5" s="5">
        <v>0.031444757164652226</v>
      </c>
      <c r="I5" s="5">
        <v>0.02929650477643482</v>
      </c>
      <c r="J5" s="5">
        <v>0.02714825238821741</v>
      </c>
      <c r="K5" s="5">
        <v>0.025</v>
      </c>
    </row>
    <row r="6" spans="1:11" x14ac:dyDescent="0.25">
      <c r="A6" t="s">
        <v>50</v>
      </c>
      <c r="B6" s="18">
        <f>Assumptions!B29*(1+B5)</f>
        <v>15017889420.000002</v>
      </c>
      <c r="C6" s="18">
        <f>B6*(1+C5)</f>
        <v>15651434390.000002</v>
      </c>
      <c r="D6" s="18">
        <f>C6*(1+D5)</f>
        <v>16278082868.90142</v>
      </c>
      <c r="E6" s="18">
        <f>D6*(1+E5)</f>
        <v>16894851523.016268</v>
      </c>
      <c r="F6" s="18">
        <f>E6*(1+F5)</f>
        <v>17498694836.756165</v>
      </c>
      <c r="G6" s="18">
        <f>F6*(1+G5)</f>
        <v>18086528659.570065</v>
      </c>
      <c r="H6" s="18">
        <f>G6*(1+H5)</f>
        <v>18655255161.22177</v>
      </c>
      <c r="I6" s="18">
        <f>H6*(1+I5)</f>
        <v>19201788933.158115</v>
      </c>
      <c r="J6" s="18">
        <f>I6*(1+J5)</f>
        <v>19723083945.420773</v>
      </c>
      <c r="K6" s="18">
        <f>J6*(1+K5)</f>
        <v>20216161044.05629</v>
      </c>
    </row>
    <row r="7" spans="1:11" x14ac:dyDescent="0.25">
      <c r="A7" t="s">
        <v>4</v>
      </c>
      <c r="B7" s="9">
        <f>Assumptions!B7</f>
        <v>0.06238108344277359</v>
      </c>
      <c r="C7" s="9">
        <f>Assumptions!B7</f>
        <v>0.06238108344277359</v>
      </c>
      <c r="D7" s="9">
        <f>Assumptions!B7</f>
        <v>0.06238108344277359</v>
      </c>
      <c r="E7" s="9">
        <f>Assumptions!B7</f>
        <v>0.06238108344277359</v>
      </c>
      <c r="F7" s="9">
        <f>Assumptions!B7</f>
        <v>0.06238108344277359</v>
      </c>
      <c r="G7" s="9">
        <f>Assumptions!B7</f>
        <v>0.06238108344277359</v>
      </c>
      <c r="H7" s="9">
        <f>Assumptions!B7</f>
        <v>0.06238108344277359</v>
      </c>
      <c r="I7" s="9">
        <f>Assumptions!B7</f>
        <v>0.06238108344277359</v>
      </c>
      <c r="J7" s="9">
        <f>Assumptions!B7</f>
        <v>0.06238108344277359</v>
      </c>
      <c r="K7" s="9">
        <f>Assumptions!B7</f>
        <v>0.06238108344277359</v>
      </c>
    </row>
    <row r="8" spans="1:11" x14ac:dyDescent="0.25">
      <c r="A8" t="s">
        <v>51</v>
      </c>
      <c r="B8" s="18">
        <f>B6*B7</f>
        <v>936832213.0433668</v>
      </c>
      <c r="C8" s="18">
        <f>C6*C7</f>
        <v>976353434.6816863</v>
      </c>
      <c r="D8" s="18">
        <f>D6*D7</f>
        <v>1015444445.7333229</v>
      </c>
      <c r="E8" s="18">
        <f>E6*E7</f>
        <v>1053919142.6105483</v>
      </c>
      <c r="F8" s="18">
        <f>F6*F7</f>
        <v>1091587542.7513177</v>
      </c>
      <c r="G8" s="18">
        <f>G6*G7</f>
        <v>1128257253.502756</v>
      </c>
      <c r="H8" s="18">
        <f>H6*H7</f>
        <v>1163735028.858408</v>
      </c>
      <c r="I8" s="18">
        <f>I6*I7</f>
        <v>1197828397.689863</v>
      </c>
      <c r="J8" s="18">
        <f>J6*J7</f>
        <v>1230347345.3481214</v>
      </c>
      <c r="K8" s="18">
        <f>K6*K7</f>
        <v>1261106028.9818244</v>
      </c>
    </row>
    <row r="9" spans="1:11" x14ac:dyDescent="0.25">
      <c r="A9" t="s">
        <v>52</v>
      </c>
      <c r="B9" s="18">
        <f>B8*(1-Assumptions!B8)</f>
        <v>766477891.7846154</v>
      </c>
      <c r="C9" s="18">
        <f>C8*(1-Assumptions!B8)</f>
        <v>798812542.771568</v>
      </c>
      <c r="D9" s="18">
        <f>D8*(1-Assumptions!B8)</f>
        <v>830795213.0100865</v>
      </c>
      <c r="E9" s="18">
        <f>E8*(1-Assumptions!B8)</f>
        <v>862273640.1381497</v>
      </c>
      <c r="F9" s="18">
        <f>F8*(1-Assumptions!B8)</f>
        <v>893092388.175222</v>
      </c>
      <c r="G9" s="18">
        <f>G8*(1-Assumptions!B8)</f>
        <v>923094049.3027873</v>
      </c>
      <c r="H9" s="18">
        <f>H8*(1-Assumptions!B8)</f>
        <v>952120517.5232491</v>
      </c>
      <c r="I9" s="18">
        <f>I8*(1-Assumptions!B8)</f>
        <v>980014320.8126106</v>
      </c>
      <c r="J9" s="18">
        <f>J8*(1-Assumptions!B8)</f>
        <v>1006619996.9380989</v>
      </c>
      <c r="K9" s="18">
        <f>K8*(1-Assumptions!B8)</f>
        <v>1031785496.8615513</v>
      </c>
    </row>
    <row r="10" spans="1:11" x14ac:dyDescent="0.25">
      <c r="A10" t="s">
        <v>53</v>
      </c>
      <c r="B10" s="18">
        <f>B6*Assumptions!B9</f>
        <v>396777362.63130915</v>
      </c>
      <c r="C10" s="18">
        <f>C6*Assumptions!B9</f>
        <v>413515820.0319984</v>
      </c>
      <c r="D10" s="18">
        <f>D6*Assumptions!B9</f>
        <v>430072069.9684443</v>
      </c>
      <c r="E10" s="18">
        <f>E6*Assumptions!B9</f>
        <v>446367291.8261473</v>
      </c>
      <c r="F10" s="18">
        <f>F6*Assumptions!B9</f>
        <v>462321022.1252393</v>
      </c>
      <c r="G10" s="18">
        <f>G6*Assumptions!B9</f>
        <v>477851776.6379849</v>
      </c>
      <c r="H10" s="18">
        <f>H6*Assumptions!B9</f>
        <v>492877709.71506405</v>
      </c>
      <c r="I10" s="18">
        <f>I6*Assumptions!B9</f>
        <v>507317303.8919297</v>
      </c>
      <c r="J10" s="18">
        <f>J6*Assumptions!B9</f>
        <v>521090082.0988978</v>
      </c>
      <c r="K10" s="18">
        <f>K6*Assumptions!B9</f>
        <v>534117334.15137017</v>
      </c>
    </row>
    <row r="11" spans="1:11" x14ac:dyDescent="0.25">
      <c r="A11" t="s">
        <v>54</v>
      </c>
      <c r="B11" s="18">
        <f>-B6*B19</f>
        <v>-160809462.84003666</v>
      </c>
      <c r="C11" s="18">
        <f>-C6*C19</f>
        <v>-200896785.25611576</v>
      </c>
      <c r="D11" s="18">
        <f>-D6*D19</f>
        <v>-243577049.4371276</v>
      </c>
      <c r="E11" s="18">
        <f>-E6*E19</f>
        <v>-288755242.84122765</v>
      </c>
      <c r="F11" s="18">
        <f>-F6*F19</f>
        <v>-336309765.87405646</v>
      </c>
      <c r="G11" s="18">
        <f>-G6*G19</f>
        <v>-386092272.9851225</v>
      </c>
      <c r="H11" s="18">
        <f>-H6*H19</f>
        <v>-437927847.4462956</v>
      </c>
      <c r="I11" s="18">
        <f>-I6*I19</f>
        <v>-491615524.0749937</v>
      </c>
      <c r="J11" s="18">
        <f>-J6*J19</f>
        <v>-546929168.9157845</v>
      </c>
      <c r="K11" s="18">
        <f>-K6*K19</f>
        <v>-603618719.2167971</v>
      </c>
    </row>
    <row r="12" spans="1:11" x14ac:dyDescent="0.25">
      <c r="A12" t="s">
        <v>55</v>
      </c>
      <c r="B12" s="18">
        <f>-(B6-Assumptions!B29)*Assumptions!B11</f>
        <v>-60901228.57755472</v>
      </c>
      <c r="C12" s="18">
        <f>-(C6-B6)*Assumptions!B11</f>
        <v>-12912413.953493003</v>
      </c>
      <c r="D12" s="18">
        <f>-(D6-C6)*Assumptions!B11</f>
        <v>-12771855.110619605</v>
      </c>
      <c r="E12" s="18">
        <f>-(E6-D6)*Assumptions!B11</f>
        <v>-12570492.313228613</v>
      </c>
      <c r="F12" s="18">
        <f>-(F6-E6)*Assumptions!B11</f>
        <v>-12307058.218864078</v>
      </c>
      <c r="G12" s="18">
        <f>-(G6-F6)*Assumptions!B11</f>
        <v>-11980765.400185145</v>
      </c>
      <c r="H12" s="18">
        <f>-(H6-G6)*Assumptions!B11</f>
        <v>-11591335.04863713</v>
      </c>
      <c r="I12" s="18">
        <f>-(I6-H6)*Assumptions!B11</f>
        <v>-11139020.33316753</v>
      </c>
      <c r="J12" s="18">
        <f>-(J6-I6)*Assumptions!B11</f>
        <v>-10624623.837241799</v>
      </c>
      <c r="K12" s="18">
        <f>-(K6-J6)*Assumptions!B11</f>
        <v>-10049508.574851595</v>
      </c>
    </row>
    <row r="13" spans="1:11" x14ac:dyDescent="0.25">
      <c r="A13" s="19" t="s">
        <v>56</v>
      </c>
      <c r="B13" s="20">
        <f>B9+B10+B11+B12</f>
        <v>941544562.9983332</v>
      </c>
      <c r="C13" s="20">
        <f>C9+C10+C11+C12</f>
        <v>998519163.5939577</v>
      </c>
      <c r="D13" s="20">
        <f>D9+D10+D11+D12</f>
        <v>1004518378.4307837</v>
      </c>
      <c r="E13" s="20">
        <f>E9+E10+E11+E12</f>
        <v>1007315196.8098408</v>
      </c>
      <c r="F13" s="20">
        <f>F9+F10+F11+F12</f>
        <v>1006796586.2075408</v>
      </c>
      <c r="G13" s="20">
        <f>G9+G10+G11+G12</f>
        <v>1002872787.5554645</v>
      </c>
      <c r="H13" s="20">
        <f>H9+H10+H11+H12</f>
        <v>995479044.7433804</v>
      </c>
      <c r="I13" s="20">
        <f>I9+I10+I11+I12</f>
        <v>984577080.296379</v>
      </c>
      <c r="J13" s="20">
        <f>J9+J10+J11+J12</f>
        <v>970156286.2839706</v>
      </c>
      <c r="K13" s="20">
        <f>K9+K10+K11+K12</f>
        <v>952234603.2212726</v>
      </c>
    </row>
    <row r="14" spans="1:11" x14ac:dyDescent="0.25">
      <c r="A14" t="s">
        <v>57</v>
      </c>
      <c r="B14" s="21">
        <f>1/(1+Assumptions!$B$26)^(1-0.5*Assumptions!$B$32)</f>
        <v>0.9631992301214937</v>
      </c>
      <c r="C14" s="21">
        <f>1/(1+Assumptions!$B$26)^(2-0.5*Assumptions!$B$32)</f>
        <v>0.8936107411955673</v>
      </c>
      <c r="D14" s="21">
        <f>1/(1+Assumptions!$B$26)^(3-0.5*Assumptions!$B$32)</f>
        <v>0.8290498287455718</v>
      </c>
      <c r="E14" s="21">
        <f>1/(1+Assumptions!$B$26)^(4-0.5*Assumptions!$B$32)</f>
        <v>0.7691532642316804</v>
      </c>
      <c r="F14" s="21">
        <f>1/(1+Assumptions!$B$26)^(5-0.5*Assumptions!$B$32)</f>
        <v>0.7135840613746814</v>
      </c>
      <c r="G14" s="21">
        <f>1/(1+Assumptions!$B$26)^(6-0.5*Assumptions!$B$32)</f>
        <v>0.6620295802249965</v>
      </c>
      <c r="H14" s="21">
        <f>1/(1+Assumptions!$B$26)^(7-0.5*Assumptions!$B$32)</f>
        <v>0.6141997682074848</v>
      </c>
      <c r="I14" s="21">
        <f>1/(1+Assumptions!$B$26)^(8-0.5*Assumptions!$B$32)</f>
        <v>0.5698255282459121</v>
      </c>
      <c r="J14" s="21">
        <f>1/(1+Assumptions!$B$26)^(9-0.5*Assumptions!$B$32)</f>
        <v>0.5286572047859265</v>
      </c>
      <c r="K14" s="21">
        <f>1/(1+Assumptions!$B$26)^(10-0.5*Assumptions!$B$32)</f>
        <v>0.4904631791987004</v>
      </c>
    </row>
    <row r="15" spans="1:11" x14ac:dyDescent="0.25">
      <c r="A15" s="19" t="s">
        <v>58</v>
      </c>
      <c r="B15" s="20">
        <f>B13*B14</f>
        <v>906894998.2050728</v>
      </c>
      <c r="C15" s="20">
        <f>C13*C14</f>
        <v>892287449.8771744</v>
      </c>
      <c r="D15" s="20">
        <f>D13*D14</f>
        <v>832795789.6098207</v>
      </c>
      <c r="E15" s="20">
        <f>E13*E14</f>
        <v>774779771.7364666</v>
      </c>
      <c r="F15" s="20">
        <f>F13*F14</f>
        <v>718433996.9641415</v>
      </c>
      <c r="G15" s="20">
        <f>G13*G14</f>
        <v>663931450.5644163</v>
      </c>
      <c r="H15" s="20">
        <f>H13*H14</f>
        <v>611422998.5367926</v>
      </c>
      <c r="I15" s="20">
        <f>I13*I14</f>
        <v>561037154.878702</v>
      </c>
      <c r="J15" s="20">
        <f>J13*J14</f>
        <v>512880110.512379</v>
      </c>
      <c r="K15" s="20">
        <f>K13*K14</f>
        <v>467036010.8389184</v>
      </c>
    </row>
    <row r="17" spans="1:2" x14ac:dyDescent="0.25">
      <c r="A17" s="22" t="s">
        <v>59</v>
      </c>
      <c r="B17" s="23">
        <f>SUM(B15:K15)</f>
        <v>6941499731.723885</v>
      </c>
    </row>
    <row r="19" spans="1:11" x14ac:dyDescent="0.25">
      <c r="A19" t="s">
        <v>7</v>
      </c>
      <c r="B19" s="9">
        <f>Assumptions!$B$10+($B$20-Assumptions!$B$10)*0/9</f>
        <v>0.010707860361914734</v>
      </c>
      <c r="C19" s="9">
        <f>Assumptions!$B$10+($B$20-Assumptions!$B$10)*1/9</f>
        <v>0.012835678842603239</v>
      </c>
      <c r="D19" s="9">
        <f>Assumptions!$B$10+($B$20-Assumptions!$B$10)*2/9</f>
        <v>0.014963497323291743</v>
      </c>
      <c r="E19" s="9">
        <f>Assumptions!$B$10+($B$20-Assumptions!$B$10)*3/9</f>
        <v>0.017091315803980246</v>
      </c>
      <c r="F19" s="9">
        <f>Assumptions!$B$10+($B$20-Assumptions!$B$10)*4/9</f>
        <v>0.019219134284668753</v>
      </c>
      <c r="G19" s="9">
        <f>Assumptions!$B$10+($B$20-Assumptions!$B$10)*5/9</f>
        <v>0.02134695276535726</v>
      </c>
      <c r="H19" s="9">
        <f>Assumptions!$B$10+($B$20-Assumptions!$B$10)*6/9</f>
        <v>0.023474771246045762</v>
      </c>
      <c r="I19" s="9">
        <f>Assumptions!$B$10+($B$20-Assumptions!$B$10)*7/9</f>
        <v>0.02560258972673427</v>
      </c>
      <c r="J19" s="9">
        <f>Assumptions!$B$10+($B$20-Assumptions!$B$10)*8/9</f>
        <v>0.02773040820742277</v>
      </c>
      <c r="K19" s="9">
        <f>Assumptions!$B$10+($B$20-Assumptions!$B$10)*9/9</f>
        <v>0.029858226688111278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0.029858226688111278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952234603.2212726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1322209820.6483028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0.3210339651672751</v>
      </c>
    </row>
    <row r="7" spans="1:2" x14ac:dyDescent="0.25">
      <c r="A7" t="s">
        <v>66</v>
      </c>
      <c r="B7" s="18">
        <f>-MAX(B5,0)*B6</f>
        <v>-424474261.5058363</v>
      </c>
    </row>
    <row r="8" spans="1:2" x14ac:dyDescent="0.25">
      <c r="A8" t="s">
        <v>67</v>
      </c>
      <c r="B8" s="18">
        <f>IF(OR(Assumptions!$B$33=0,Assumptions!B12&lt;=0),B5,MAX(B5+B7,0))</f>
        <v>897735559.1424665</v>
      </c>
    </row>
    <row r="9" spans="1:2" x14ac:dyDescent="0.25">
      <c r="A9" t="s">
        <v>68</v>
      </c>
      <c r="B9" s="18">
        <f>B8*(1+Assumptions!B12)/(Assumptions!B26-Assumptions!B12)</f>
        <v>17403444721.73929</v>
      </c>
    </row>
    <row r="10" spans="1:2" x14ac:dyDescent="0.25">
      <c r="A10" t="s">
        <v>69</v>
      </c>
      <c r="B10" s="18">
        <f>B9/(1+Assumptions!B26)^(10-0.5*Assumptions!B32)</f>
        <v>8535748827.233093</v>
      </c>
    </row>
    <row r="11" spans="1:2" x14ac:dyDescent="0.25">
      <c r="A11" t="s">
        <v>70</v>
      </c>
      <c r="B11" s="18">
        <f>Forecast!B17+B10</f>
        <v>15477248558.956978</v>
      </c>
    </row>
    <row r="12" spans="1:2" x14ac:dyDescent="0.25">
      <c r="A12" t="s">
        <v>71</v>
      </c>
      <c r="B12" s="18">
        <f>-Assumptions!B30</f>
        <v>-1474409000</v>
      </c>
    </row>
    <row r="13" spans="1:2" x14ac:dyDescent="0.25">
      <c r="A13" t="s">
        <v>72</v>
      </c>
      <c r="B13" s="18">
        <f>B11+B12</f>
        <v>14002839558.956978</v>
      </c>
    </row>
    <row r="14" spans="1:2" x14ac:dyDescent="0.25">
      <c r="A14" s="19" t="s">
        <v>73</v>
      </c>
      <c r="B14" s="24">
        <f>B13/Assumptions!B31</f>
        <v>114.84138338546877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1795223363.1331944</v>
      </c>
    </row>
    <row r="18" spans="1:2" x14ac:dyDescent="0.25">
      <c r="A18" t="s">
        <v>68</v>
      </c>
      <c r="B18" s="18">
        <f>B17*Assumptions!B13</f>
        <v>31905058165.388878</v>
      </c>
    </row>
    <row r="19" spans="1:2" x14ac:dyDescent="0.25">
      <c r="A19" t="s">
        <v>69</v>
      </c>
      <c r="B19" s="18">
        <f>B18/(1+Assumptions!B26)^(10-0.5*Assumptions!B32)</f>
        <v>15648256260.316086</v>
      </c>
    </row>
    <row r="20" spans="1:2" x14ac:dyDescent="0.25">
      <c r="A20" t="s">
        <v>70</v>
      </c>
      <c r="B20" s="18">
        <f>Forecast!B17+B19</f>
        <v>22589755992.03997</v>
      </c>
    </row>
    <row r="21" spans="1:2" x14ac:dyDescent="0.25">
      <c r="A21" t="s">
        <v>71</v>
      </c>
      <c r="B21" s="18">
        <f>-Assumptions!B30</f>
        <v>-1474409000</v>
      </c>
    </row>
    <row r="22" spans="1:2" x14ac:dyDescent="0.25">
      <c r="A22" t="s">
        <v>72</v>
      </c>
      <c r="B22" s="18">
        <f>B20+B21</f>
        <v>21115346992.03997</v>
      </c>
    </row>
    <row r="23" spans="1:2" x14ac:dyDescent="0.25">
      <c r="A23" s="19" t="s">
        <v>73</v>
      </c>
      <c r="B23" s="25">
        <f>B22/Assumptions!B31</f>
        <v>173.17313742118534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154.62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114.84138338546877</v>
      </c>
    </row>
    <row r="29" spans="1:2" x14ac:dyDescent="0.25">
      <c r="A29" s="19" t="s">
        <v>81</v>
      </c>
      <c r="B29" s="11">
        <f>B28/B26-1</f>
        <v>-0.25726695520974796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0.057873</v>
      </c>
      <c r="B5" s="31">
        <v>172.31759651030293</v>
      </c>
      <c r="C5" s="31">
        <v>174.22840044204406</v>
      </c>
      <c r="D5" s="31">
        <v>177.317163713146</v>
      </c>
      <c r="E5" s="31">
        <v>182.2178112721399</v>
      </c>
      <c r="F5" s="31">
        <v>190.1185678520464</v>
      </c>
    </row>
    <row r="6" spans="1:6" x14ac:dyDescent="0.25">
      <c r="A6" s="30">
        <v>0.067873</v>
      </c>
      <c r="B6" s="31">
        <v>138.83359634574194</v>
      </c>
      <c r="C6" s="31">
        <v>137.55196816205603</v>
      </c>
      <c r="D6" s="31">
        <v>136.40359592791302</v>
      </c>
      <c r="E6" s="31">
        <v>135.44125706372196</v>
      </c>
      <c r="F6" s="31">
        <v>134.7498388797155</v>
      </c>
    </row>
    <row r="7" spans="1:6" x14ac:dyDescent="0.25">
      <c r="A7" s="30">
        <v>0.077873</v>
      </c>
      <c r="B7" s="31">
        <v>118.04519661317302</v>
      </c>
      <c r="C7" s="31">
        <v>116.44359843905184</v>
      </c>
      <c r="D7" s="32">
        <v>114.84200026493062</v>
      </c>
      <c r="E7" s="31">
        <v>113.24040209080941</v>
      </c>
      <c r="F7" s="31">
        <v>111.63880391668819</v>
      </c>
    </row>
    <row r="8" spans="1:6" x14ac:dyDescent="0.25">
      <c r="A8" s="30">
        <v>0.087873</v>
      </c>
      <c r="B8" s="31">
        <v>103.14961082148882</v>
      </c>
      <c r="C8" s="31">
        <v>101.80649002136246</v>
      </c>
      <c r="D8" s="31">
        <v>100.46336922123605</v>
      </c>
      <c r="E8" s="31">
        <v>99.12024842110972</v>
      </c>
      <c r="F8" s="31">
        <v>97.77712762098331</v>
      </c>
    </row>
    <row r="9" spans="1:6" x14ac:dyDescent="0.25">
      <c r="A9" s="30">
        <v>0.097873</v>
      </c>
      <c r="B9" s="31">
        <v>91.31315705930002</v>
      </c>
      <c r="C9" s="31">
        <v>90.17105135027613</v>
      </c>
      <c r="D9" s="31">
        <v>89.02894564125224</v>
      </c>
      <c r="E9" s="31">
        <v>87.88683993222831</v>
      </c>
      <c r="F9" s="31">
        <v>86.74473422320442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12029783000</v>
      </c>
      <c r="C5" s="18">
        <v>11500941000</v>
      </c>
      <c r="D5" s="18">
        <v>10851420000</v>
      </c>
      <c r="E5" s="18">
        <v>9783074000</v>
      </c>
      <c r="F5" s="6" t="s">
        <v>91</v>
      </c>
    </row>
    <row r="6" spans="1:6" x14ac:dyDescent="0.25">
      <c r="A6" t="s">
        <v>51</v>
      </c>
      <c r="B6" s="18">
        <v>863634000</v>
      </c>
      <c r="C6" s="18">
        <v>692436000</v>
      </c>
      <c r="D6" s="18">
        <v>676484000</v>
      </c>
      <c r="E6" s="18">
        <v>539884000</v>
      </c>
      <c r="F6" s="6" t="s">
        <v>92</v>
      </c>
    </row>
    <row r="7" spans="1:6" x14ac:dyDescent="0.25">
      <c r="A7" t="s">
        <v>93</v>
      </c>
      <c r="B7" s="18">
        <v>237576000</v>
      </c>
      <c r="C7" s="18">
        <v>308739000</v>
      </c>
      <c r="D7" s="18">
        <v>307252000</v>
      </c>
      <c r="E7" s="18">
        <v>301056000</v>
      </c>
      <c r="F7" s="6" t="s">
        <v>94</v>
      </c>
    </row>
    <row r="8" spans="1:6" x14ac:dyDescent="0.25">
      <c r="A8" t="s">
        <v>95</v>
      </c>
      <c r="B8" s="18">
        <v>79232000</v>
      </c>
      <c r="C8" s="18">
        <v>121114000</v>
      </c>
      <c r="D8" s="18">
        <v>137486000</v>
      </c>
      <c r="E8" s="18">
        <v>127615000</v>
      </c>
      <c r="F8" s="6" t="s">
        <v>96</v>
      </c>
    </row>
    <row r="9" spans="1:6" x14ac:dyDescent="0.25">
      <c r="A9" t="s">
        <v>97</v>
      </c>
      <c r="B9" s="18">
        <v>50641000</v>
      </c>
      <c r="C9" s="18">
        <v>-218582000</v>
      </c>
      <c r="D9" s="18">
        <v>103832000</v>
      </c>
      <c r="E9" s="18">
        <v>762680000</v>
      </c>
      <c r="F9" s="6" t="s">
        <v>98</v>
      </c>
    </row>
    <row r="10" spans="1:6" x14ac:dyDescent="0.25">
      <c r="A10" t="s">
        <v>99</v>
      </c>
      <c r="B10" s="18">
        <v>2709857000</v>
      </c>
      <c r="C10" s="18">
        <v>2752168000</v>
      </c>
      <c r="D10" s="18">
        <v>3467256000</v>
      </c>
      <c r="E10" s="18">
        <v>4165289000</v>
      </c>
      <c r="F10" s="6" t="s">
        <v>100</v>
      </c>
    </row>
    <row r="11" spans="1:6" x14ac:dyDescent="0.25">
      <c r="A11" t="s">
        <v>101</v>
      </c>
      <c r="B11" s="18">
        <v>1235448000</v>
      </c>
      <c r="C11" s="18">
        <v>1894263000</v>
      </c>
      <c r="D11" s="18">
        <v>770853000</v>
      </c>
      <c r="E11" s="18">
        <v>1140479000</v>
      </c>
      <c r="F11" s="6" t="s">
        <v>102</v>
      </c>
    </row>
    <row r="12" spans="1:6" x14ac:dyDescent="0.25">
      <c r="A12" t="s">
        <v>34</v>
      </c>
      <c r="B12" s="34">
        <v>121932000</v>
      </c>
      <c r="C12" s="34">
        <v>125881000</v>
      </c>
      <c r="D12" s="34">
        <v>127214000</v>
      </c>
      <c r="E12" s="34">
        <v>129445000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