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<sst xmlns="http://schemas.openxmlformats.org/spreadsheetml/2006/main" count="111" uniqueCount="99">
  <si>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Jacobs Solutions Inc. (J)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</si>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</sst>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0.07134040631933236</v>
      </c>
    </row>
    <row r="7" spans="1:2" x14ac:dyDescent="0.25">
      <c r="A7" t="s">
        <v>5</v>
      </c>
      <c r="B7" s="6">
        <v>0.06238108344277359</v>
      </c>
    </row>
    <row r="8" spans="1:2" x14ac:dyDescent="0.25">
      <c r="A8" t="s">
        <v>6</v>
      </c>
      <c r="B8" s="6">
        <v>0.1818408023197058</v>
      </c>
    </row>
    <row r="9" spans="1:2" x14ac:dyDescent="0.25">
      <c r="A9" t="s">
        <v>7</v>
      </c>
      <c r="B9" s="6">
        <v>0.02642031456849741</v>
      </c>
    </row>
    <row r="10" spans="1:2" x14ac:dyDescent="0.25">
      <c r="A10" t="s">
        <v>8</v>
      </c>
      <c r="B10" s="6">
        <v>0.010707860361914734</v>
      </c>
    </row>
    <row r="11" spans="1:2" x14ac:dyDescent="0.25">
      <c r="A11" t="s">
        <v>9</v>
      </c>
      <c r="B11" s="6">
        <v>0.09575827941048555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16.579711793390906</v>
      </c>
    </row>
    <row r="14" spans="1:3" x14ac:dyDescent="0.25">
      <c r="A14" t="s">
        <v>12</v>
      </c>
      <c r="B14" s="6">
        <v>0.08627323730672311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0.78493</v>
      </c>
      <c r="C19" s="8" t="s">
        <v>19</v>
      </c>
    </row>
    <row r="20" spans="1:2" x14ac:dyDescent="0.25">
      <c r="A20" t="s">
        <v>20</v>
      </c>
      <c r="B20" s="10">
        <f>B17+B19*B18</f>
        <v>0.09315115</v>
      </c>
    </row>
    <row r="21" spans="1:3" x14ac:dyDescent="0.25">
      <c r="A21" t="s">
        <v>21</v>
      </c>
      <c r="B21" s="6">
        <v>0.053382399384843536</v>
      </c>
      <c r="C21" s="8" t="s">
        <v>22</v>
      </c>
    </row>
    <row r="22" spans="1:2" x14ac:dyDescent="0.25">
      <c r="A22" t="s">
        <v>23</v>
      </c>
      <c r="B22" s="11">
        <v>16783335424</v>
      </c>
    </row>
    <row r="23" spans="1:2" x14ac:dyDescent="0.25">
      <c r="A23" t="s">
        <v>24</v>
      </c>
      <c r="B23" s="11">
        <v>2709857000</v>
      </c>
    </row>
    <row r="24" spans="1:2" x14ac:dyDescent="0.25">
      <c r="A24" t="s">
        <v>25</v>
      </c>
      <c r="B24" s="10">
        <f>B22/(B22+B23)</f>
        <v>0.8609844431298166</v>
      </c>
    </row>
    <row r="25" spans="1:2" x14ac:dyDescent="0.25">
      <c r="A25" t="s">
        <v>26</v>
      </c>
      <c r="B25" s="10">
        <f>1-B24</f>
        <v>0.1390155568701834</v>
      </c>
    </row>
    <row r="26" spans="1:2" x14ac:dyDescent="0.25">
      <c r="A26" t="s">
        <v>27</v>
      </c>
      <c r="B26" s="12">
        <f>B24*B20+B25*B21*(1-B8)</f>
        <v>0.08627323730672311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12029783000</v>
      </c>
      <c r="C29" s="8" t="s">
        <v>30</v>
      </c>
    </row>
    <row r="30" spans="1:2" x14ac:dyDescent="0.25">
      <c r="A30" t="s">
        <v>31</v>
      </c>
      <c r="B30" s="11">
        <v>1474409000</v>
      </c>
    </row>
    <row r="31" spans="1:2" x14ac:dyDescent="0.25">
      <c r="A31" t="s">
        <v>32</v>
      </c>
      <c r="B31" s="13">
        <v>121932000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0.07134040631933236</v>
      </c>
      <c r="C5" s="10">
        <f>Assumptions!B6</f>
        <v>0.07134040631933236</v>
      </c>
      <c r="D5" s="10">
        <f>Assumptions!B6</f>
        <v>0.07134040631933236</v>
      </c>
      <c r="E5" s="10">
        <f>Assumptions!B6</f>
        <v>0.07134040631933236</v>
      </c>
      <c r="F5" s="10">
        <f>Assumptions!B6</f>
        <v>0.07134040631933236</v>
      </c>
    </row>
    <row r="6" spans="1:6" x14ac:dyDescent="0.25">
      <c r="A6" t="s">
        <v>43</v>
      </c>
      <c r="B6" s="18">
        <f>Assumptions!B29*(1+B5)</f>
        <v>12887992607.153397</v>
      </c>
      <c r="C6" s="18">
        <f>B6*(1+C5)</f>
        <v>13807427236.388271</v>
      </c>
      <c r="D6" s="18">
        <f>C6*(1+D5)</f>
        <v>14792454705.656826</v>
      </c>
      <c r="E6" s="18">
        <f>D6*(1+E5)</f>
        <v>15847754434.818705</v>
      </c>
      <c r="F6" s="18">
        <f>E6*(1+F5)</f>
        <v>16978339675.447672</v>
      </c>
    </row>
    <row r="7" spans="1:6" x14ac:dyDescent="0.25">
      <c r="A7" t="s">
        <v>5</v>
      </c>
      <c r="B7" s="10">
        <f>Assumptions!B7</f>
        <v>0.06238108344277359</v>
      </c>
      <c r="C7" s="10">
        <f>Assumptions!B7</f>
        <v>0.06238108344277359</v>
      </c>
      <c r="D7" s="10">
        <f>Assumptions!B7</f>
        <v>0.06238108344277359</v>
      </c>
      <c r="E7" s="10">
        <f>Assumptions!B7</f>
        <v>0.06238108344277359</v>
      </c>
      <c r="F7" s="10">
        <f>Assumptions!B7</f>
        <v>0.06238108344277359</v>
      </c>
    </row>
    <row r="8" spans="1:6" x14ac:dyDescent="0.25">
      <c r="A8" t="s">
        <v>44</v>
      </c>
      <c r="B8" s="18">
        <f>B6*B7</f>
        <v>803966942.2366852</v>
      </c>
      <c r="C8" s="18">
        <f>C6*C7</f>
        <v>861322270.5631615</v>
      </c>
      <c r="D8" s="18">
        <f>D6*D7</f>
        <v>922769351.3170273</v>
      </c>
      <c r="E8" s="18">
        <f>E6*E7</f>
        <v>988600091.7790109</v>
      </c>
      <c r="F8" s="18">
        <f>F6*F7</f>
        <v>1059127224.0138547</v>
      </c>
    </row>
    <row r="9" spans="1:6" x14ac:dyDescent="0.25">
      <c r="A9" t="s">
        <v>45</v>
      </c>
      <c r="B9" s="18">
        <f>B8*(1-Assumptions!B8)</f>
        <v>657772948.4218458</v>
      </c>
      <c r="C9" s="18">
        <f>C8*(1-Assumptions!B8)</f>
        <v>704698737.8281255</v>
      </c>
      <c r="D9" s="18">
        <f>D8*(1-Assumptions!B8)</f>
        <v>754972232.1175046</v>
      </c>
      <c r="E9" s="18">
        <f>E8*(1-Assumptions!B8)</f>
        <v>808832257.9165808</v>
      </c>
      <c r="F9" s="18">
        <f>F8*(1-Assumptions!B8)</f>
        <v>866534679.8405327</v>
      </c>
    </row>
    <row r="10" spans="1:6" x14ac:dyDescent="0.25">
      <c r="A10" t="s">
        <v>46</v>
      </c>
      <c r="B10" s="18">
        <f>B6*Assumptions!B9</f>
        <v>340504818.83746177</v>
      </c>
      <c r="C10" s="18">
        <f>C6*Assumptions!B9</f>
        <v>364796570.967017</v>
      </c>
      <c r="D10" s="18">
        <f>D6*Assumptions!B9</f>
        <v>390821306.5637031</v>
      </c>
      <c r="E10" s="18">
        <f>E6*Assumptions!B9</f>
        <v>418702657.37221</v>
      </c>
      <c r="F10" s="18">
        <f>F6*Assumptions!B9</f>
        <v>448573075.0761277</v>
      </c>
    </row>
    <row r="11" spans="1:6" x14ac:dyDescent="0.25">
      <c r="A11" t="s">
        <v>47</v>
      </c>
      <c r="B11" s="18">
        <f>-B6*Assumptions!B10</f>
        <v>-138002825.18278798</v>
      </c>
      <c r="C11" s="18">
        <f>-C6*Assumptions!B10</f>
        <v>-147848002.80454388</v>
      </c>
      <c r="D11" s="18">
        <f>-D6*Assumptions!B10</f>
        <v>-158395539.3981218</v>
      </c>
      <c r="E11" s="18">
        <f>-E6*Assumptions!B10</f>
        <v>-169695541.53795364</v>
      </c>
      <c r="F11" s="18">
        <f>-F6*Assumptions!B10</f>
        <v>-181801690.42185038</v>
      </c>
    </row>
    <row r="12" spans="1:6" x14ac:dyDescent="0.25">
      <c r="A12" t="s">
        <v>48</v>
      </c>
      <c r="B12" s="18">
        <f>-(B6-Assumptions!B29)*Assumptions!B11</f>
        <v>-82180675.35455799</v>
      </c>
      <c r="C12" s="18">
        <f>-(C6-B6)*Assumptions!B11</f>
        <v>-88043478.12594932</v>
      </c>
      <c r="D12" s="18">
        <f>-(D6-C6)*Assumptions!B11</f>
        <v>-94324535.62922172</v>
      </c>
      <c r="E12" s="18">
        <f>-(E6-D6)*Assumptions!B11</f>
        <v>-101053686.3268929</v>
      </c>
      <c r="F12" s="18">
        <f>-(F6-E6)*Assumptions!B11</f>
        <v>-108262897.3695197</v>
      </c>
    </row>
    <row r="13" spans="1:6" x14ac:dyDescent="0.25">
      <c r="A13" s="19" t="s">
        <v>49</v>
      </c>
      <c r="B13" s="20">
        <f>B9+B10+B11+B12</f>
        <v>778094266.7219616</v>
      </c>
      <c r="C13" s="20">
        <f>C9+C10+C11+C12</f>
        <v>833603827.8646493</v>
      </c>
      <c r="D13" s="20">
        <f>D9+D10+D11+D12</f>
        <v>893073463.6538641</v>
      </c>
      <c r="E13" s="20">
        <f>E9+E10+E11+E12</f>
        <v>956785687.4239442</v>
      </c>
      <c r="F13" s="20">
        <f>F9+F10+F11+F12</f>
        <v>1025043167.1252902</v>
      </c>
    </row>
    <row r="14" spans="1:6" x14ac:dyDescent="0.25">
      <c r="A14" t="s">
        <v>50</v>
      </c>
      <c r="B14" s="21">
        <f>1/(1+Assumptions!$B$26)^(1-0.5*Assumptions!$B$32)</f>
        <v>0.9594679232388473</v>
      </c>
      <c r="C14" s="21">
        <f>1/(1+Assumptions!$B$26)^(2-0.5*Assumptions!$B$32)</f>
        <v>0.8832657293644889</v>
      </c>
      <c r="D14" s="21">
        <f>1/(1+Assumptions!$B$26)^(3-0.5*Assumptions!$B$32)</f>
        <v>0.8131156131163042</v>
      </c>
      <c r="E14" s="21">
        <f>1/(1+Assumptions!$B$26)^(4-0.5*Assumptions!$B$32)</f>
        <v>0.7485369105956446</v>
      </c>
      <c r="F14" s="21">
        <f>1/(1+Assumptions!$B$26)^(5-0.5*Assumptions!$B$32)</f>
        <v>0.6890871328576106</v>
      </c>
    </row>
    <row r="15" spans="1:6" x14ac:dyDescent="0.25">
      <c r="A15" s="19" t="s">
        <v>51</v>
      </c>
      <c r="B15" s="20">
        <f>B13*B14</f>
        <v>746556490.1757742</v>
      </c>
      <c r="C15" s="20">
        <f>C13*C14</f>
        <v>736293693.0198992</v>
      </c>
      <c r="D15" s="20">
        <f>D13*D14</f>
        <v>726171976.9568132</v>
      </c>
      <c r="E15" s="20">
        <f>E13*E14</f>
        <v>716189402.5664494</v>
      </c>
      <c r="F15" s="20">
        <f>F13*F14</f>
        <v>706344057.0896508</v>
      </c>
    </row>
    <row r="17" spans="1:2" x14ac:dyDescent="0.25">
      <c r="A17" s="22" t="s">
        <v>52</v>
      </c>
      <c r="B17" s="23">
        <f>SUM(B15:F15)</f>
        <v>3631555619.8085866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1025043167.1252902</v>
      </c>
    </row>
    <row r="5" spans="1:2" x14ac:dyDescent="0.25">
      <c r="A5" t="s">
        <v>56</v>
      </c>
      <c r="B5" s="18">
        <f>IF(Assumptions!$B$33=0,B4,B4-Forecast!F11-Forecast!F10-Forecast!F12)</f>
        <v>1110444629.3367746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0.28977700130944084</v>
      </c>
    </row>
    <row r="7" spans="1:2" x14ac:dyDescent="0.25">
      <c r="A7" t="s">
        <v>58</v>
      </c>
      <c r="B7" s="18">
        <f>-MAX(Forecast!F9,0)*B6</f>
        <v>-321781314.8093841</v>
      </c>
    </row>
    <row r="8" spans="1:2" x14ac:dyDescent="0.25">
      <c r="A8" t="s">
        <v>59</v>
      </c>
      <c r="B8" s="18">
        <f>IF(OR(Assumptions!$B$33=0,Assumptions!B12&lt;=0),B5,MAX(B5+B7,0))</f>
        <v>788663314.5273905</v>
      </c>
    </row>
    <row r="9" spans="1:2" x14ac:dyDescent="0.25">
      <c r="A9" t="s">
        <v>60</v>
      </c>
      <c r="B9" s="18">
        <f>B8*(1+Assumptions!B12)/(Assumptions!B26-Assumptions!B12)</f>
        <v>13193033907.184744</v>
      </c>
    </row>
    <row r="10" spans="1:2" x14ac:dyDescent="0.25">
      <c r="A10" t="s">
        <v>61</v>
      </c>
      <c r="B10" s="18">
        <f>B9/(1+Assumptions!B26)^(5-0.5*Assumptions!B32)</f>
        <v>9091149908.795176</v>
      </c>
    </row>
    <row r="11" spans="1:2" x14ac:dyDescent="0.25">
      <c r="A11" t="s">
        <v>62</v>
      </c>
      <c r="B11" s="18">
        <f>Forecast!B17+B10</f>
        <v>12722705528.603762</v>
      </c>
    </row>
    <row r="12" spans="1:2" x14ac:dyDescent="0.25">
      <c r="A12" t="s">
        <v>63</v>
      </c>
      <c r="B12" s="18">
        <f>-Assumptions!B30</f>
        <v>-1474409000</v>
      </c>
    </row>
    <row r="13" spans="1:2" x14ac:dyDescent="0.25">
      <c r="A13" t="s">
        <v>64</v>
      </c>
      <c r="B13" s="18">
        <f>B11+B12</f>
        <v>11248296528.603762</v>
      </c>
    </row>
    <row r="14" spans="1:2" x14ac:dyDescent="0.25">
      <c r="A14" s="19" t="s">
        <v>65</v>
      </c>
      <c r="B14" s="24">
        <f>B13/Assumptions!B31</f>
        <v>92.25057022441821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1507700299.0899825</v>
      </c>
    </row>
    <row r="18" spans="1:2" x14ac:dyDescent="0.25">
      <c r="A18" t="s">
        <v>60</v>
      </c>
      <c r="B18" s="18">
        <f>B17*Assumptions!B13</f>
        <v>24997236429.72118</v>
      </c>
    </row>
    <row r="19" spans="1:2" x14ac:dyDescent="0.25">
      <c r="A19" t="s">
        <v>61</v>
      </c>
      <c r="B19" s="18">
        <f>B18/(1+Assumptions!B26)^(5-0.5*Assumptions!B32)</f>
        <v>17225273980.720383</v>
      </c>
    </row>
    <row r="20" spans="1:2" x14ac:dyDescent="0.25">
      <c r="A20" t="s">
        <v>62</v>
      </c>
      <c r="B20" s="18">
        <f>Forecast!B17+B19</f>
        <v>20856829600.52897</v>
      </c>
    </row>
    <row r="21" spans="1:2" x14ac:dyDescent="0.25">
      <c r="A21" t="s">
        <v>63</v>
      </c>
      <c r="B21" s="18">
        <f>-Assumptions!B30</f>
        <v>-1474409000</v>
      </c>
    </row>
    <row r="22" spans="1:2" x14ac:dyDescent="0.25">
      <c r="A22" t="s">
        <v>64</v>
      </c>
      <c r="B22" s="18">
        <f>B20+B21</f>
        <v>19382420600.52897</v>
      </c>
    </row>
    <row r="23" spans="1:2" x14ac:dyDescent="0.25">
      <c r="A23" s="19" t="s">
        <v>65</v>
      </c>
      <c r="B23" s="25">
        <f>B22/Assumptions!B31</f>
        <v>158.96090116236073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143.4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92.25057022441821</v>
      </c>
    </row>
    <row r="29" spans="1:2" x14ac:dyDescent="0.25">
      <c r="A29" s="19" t="s">
        <v>73</v>
      </c>
      <c r="B29" s="12">
        <f>B28/B26-1</f>
        <v>-0.35669058420907807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0.066273</v>
      </c>
      <c r="B5" s="31">
        <v>125.71061207816443</v>
      </c>
      <c r="C5" s="31">
        <v>127.24897192869132</v>
      </c>
      <c r="D5" s="31">
        <v>129.0439549633398</v>
      </c>
      <c r="E5" s="31">
        <v>131.2016827535769</v>
      </c>
      <c r="F5" s="31">
        <v>133.8961447258673</v>
      </c>
    </row>
    <row r="6" spans="1:6" x14ac:dyDescent="0.25">
      <c r="A6" s="30">
        <v>0.076273</v>
      </c>
      <c r="B6" s="31">
        <v>105.44381184301199</v>
      </c>
      <c r="C6" s="31">
        <v>105.87268353555363</v>
      </c>
      <c r="D6" s="31">
        <v>106.3015552280953</v>
      </c>
      <c r="E6" s="31">
        <v>106.73042692063694</v>
      </c>
      <c r="F6" s="31">
        <v>107.15929861317858</v>
      </c>
    </row>
    <row r="7" spans="1:6" x14ac:dyDescent="0.25">
      <c r="A7" s="30">
        <v>0.086273</v>
      </c>
      <c r="B7" s="31">
        <v>91.52345534567921</v>
      </c>
      <c r="C7" s="31">
        <v>91.88716001963996</v>
      </c>
      <c r="D7" s="32">
        <v>92.25086469360066</v>
      </c>
      <c r="E7" s="31">
        <v>92.61456936756137</v>
      </c>
      <c r="F7" s="31">
        <v>92.97827404152208</v>
      </c>
    </row>
    <row r="8" spans="1:6" x14ac:dyDescent="0.25">
      <c r="A8" s="30">
        <v>0.096273</v>
      </c>
      <c r="B8" s="31">
        <v>80.51685079750068</v>
      </c>
      <c r="C8" s="31">
        <v>80.8296102746694</v>
      </c>
      <c r="D8" s="31">
        <v>81.1423697518381</v>
      </c>
      <c r="E8" s="31">
        <v>81.45512922900683</v>
      </c>
      <c r="F8" s="31">
        <v>81.76788870617555</v>
      </c>
    </row>
    <row r="9" spans="1:6" x14ac:dyDescent="0.25">
      <c r="A9" s="30">
        <v>0.106273</v>
      </c>
      <c r="B9" s="31">
        <v>71.60040422958737</v>
      </c>
      <c r="C9" s="31">
        <v>71.87238980106464</v>
      </c>
      <c r="D9" s="31">
        <v>72.1443753725419</v>
      </c>
      <c r="E9" s="31">
        <v>72.41636094401919</v>
      </c>
      <c r="F9" s="31">
        <v>72.68834651549645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12029783000</v>
      </c>
      <c r="C5" s="18">
        <v>11500941000</v>
      </c>
      <c r="D5" s="18">
        <v>10851420000</v>
      </c>
      <c r="E5" s="18">
        <v>9783074000</v>
      </c>
      <c r="F5" s="8" t="s">
        <v>84</v>
      </c>
    </row>
    <row r="6" spans="1:6" x14ac:dyDescent="0.25">
      <c r="A6" t="s">
        <v>44</v>
      </c>
      <c r="B6" s="18">
        <v>863634000</v>
      </c>
      <c r="C6" s="18">
        <v>692436000</v>
      </c>
      <c r="D6" s="18">
        <v>676484000</v>
      </c>
      <c r="E6" s="18">
        <v>539884000</v>
      </c>
      <c r="F6" s="8" t="s">
        <v>85</v>
      </c>
    </row>
    <row r="7" spans="1:6" x14ac:dyDescent="0.25">
      <c r="A7" t="s">
        <v>86</v>
      </c>
      <c r="B7" s="18">
        <v>237576000</v>
      </c>
      <c r="C7" s="18">
        <v>308739000</v>
      </c>
      <c r="D7" s="18">
        <v>307252000</v>
      </c>
      <c r="E7" s="18">
        <v>301056000</v>
      </c>
      <c r="F7" s="8" t="s">
        <v>87</v>
      </c>
    </row>
    <row r="8" spans="1:6" x14ac:dyDescent="0.25">
      <c r="A8" t="s">
        <v>88</v>
      </c>
      <c r="B8" s="18">
        <v>79232000</v>
      </c>
      <c r="C8" s="18">
        <v>121114000</v>
      </c>
      <c r="D8" s="18">
        <v>137486000</v>
      </c>
      <c r="E8" s="18">
        <v>127615000</v>
      </c>
      <c r="F8" s="8" t="s">
        <v>89</v>
      </c>
    </row>
    <row r="9" spans="1:6" x14ac:dyDescent="0.25">
      <c r="A9" t="s">
        <v>90</v>
      </c>
      <c r="B9" s="18">
        <v>50641000</v>
      </c>
      <c r="C9" s="18">
        <v>-218582000</v>
      </c>
      <c r="D9" s="18">
        <v>103832000</v>
      </c>
      <c r="E9" s="18">
        <v>762680000</v>
      </c>
      <c r="F9" s="8" t="s">
        <v>91</v>
      </c>
    </row>
    <row r="10" spans="1:6" x14ac:dyDescent="0.25">
      <c r="A10" t="s">
        <v>92</v>
      </c>
      <c r="B10" s="18">
        <v>2709857000</v>
      </c>
      <c r="C10" s="18">
        <v>2752168000</v>
      </c>
      <c r="D10" s="18">
        <v>3467256000</v>
      </c>
      <c r="E10" s="18">
        <v>4165289000</v>
      </c>
      <c r="F10" s="8" t="s">
        <v>93</v>
      </c>
    </row>
    <row r="11" spans="1:6" x14ac:dyDescent="0.25">
      <c r="A11" t="s">
        <v>94</v>
      </c>
      <c r="B11" s="18">
        <v>1235448000</v>
      </c>
      <c r="C11" s="18">
        <v>1894263000</v>
      </c>
      <c r="D11" s="18">
        <v>770853000</v>
      </c>
      <c r="E11" s="18">
        <v>1140479000</v>
      </c>
      <c r="F11" s="8" t="s">
        <v>95</v>
      </c>
    </row>
    <row r="12" spans="1:6" x14ac:dyDescent="0.25">
      <c r="A12" t="s">
        <v>32</v>
      </c>
      <c r="B12" s="34">
        <v>121932000</v>
      </c>
      <c r="C12" s="34">
        <v>125881000</v>
      </c>
      <c r="D12" s="34">
        <v>127214000</v>
      </c>
      <c r="E12" s="34">
        <v>129445000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