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<sst xmlns="http://schemas.openxmlformats.org/spreadsheetml/2006/main" count="112" uniqueCount="100">
  <si>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Jardine Matheson Holdings Limited (J36.SI)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</si>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</sst>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-0.03004333914125812</v>
      </c>
    </row>
    <row r="7" spans="1:2" x14ac:dyDescent="0.25">
      <c r="A7" t="s">
        <v>5</v>
      </c>
      <c r="B7" s="6">
        <v>0.10381723445341662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0.05967167896526671</v>
      </c>
    </row>
    <row r="10" spans="1:2" x14ac:dyDescent="0.25">
      <c r="A10" t="s">
        <v>8</v>
      </c>
      <c r="B10" s="6">
        <v>0.04065141554379344</v>
      </c>
    </row>
    <row r="11" spans="1:2" x14ac:dyDescent="0.25">
      <c r="A11" t="s">
        <v>9</v>
      </c>
      <c r="B11" s="6">
        <v>-0.7449896337249482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4.54830369874477</v>
      </c>
    </row>
    <row r="14" spans="1:3" x14ac:dyDescent="0.25">
      <c r="A14" t="s">
        <v>12</v>
      </c>
      <c r="B14" s="6">
        <v>0.06137591846855624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0.61944</v>
      </c>
      <c r="C19" s="8" t="s">
        <v>19</v>
      </c>
    </row>
    <row r="20" spans="1:2" x14ac:dyDescent="0.25">
      <c r="A20" t="s">
        <v>20</v>
      </c>
      <c r="B20" s="10">
        <f>B17+B19*B18</f>
        <v>0.0822636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16874070016</v>
      </c>
    </row>
    <row r="23" spans="1:2" x14ac:dyDescent="0.25">
      <c r="A23" t="s">
        <v>24</v>
      </c>
      <c r="B23" s="11">
        <v>18151000000</v>
      </c>
    </row>
    <row r="24" spans="1:2" x14ac:dyDescent="0.25">
      <c r="A24" t="s">
        <v>25</v>
      </c>
      <c r="B24" s="10">
        <f>B22/(B22+B23)</f>
        <v>0.4817712001229879</v>
      </c>
    </row>
    <row r="25" spans="1:2" x14ac:dyDescent="0.25">
      <c r="A25" t="s">
        <v>26</v>
      </c>
      <c r="B25" s="10">
        <f>1-B24</f>
        <v>0.5182287998770121</v>
      </c>
    </row>
    <row r="26" spans="1:2" x14ac:dyDescent="0.25">
      <c r="A26" t="s">
        <v>27</v>
      </c>
      <c r="B26" s="12">
        <f>B24*B20+B25*B21*(1-B8)</f>
        <v>0.05595644049456332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34217000000</v>
      </c>
      <c r="C29" s="8" t="s">
        <v>30</v>
      </c>
    </row>
    <row r="30" spans="1:2" x14ac:dyDescent="0.25">
      <c r="A30" t="s">
        <v>31</v>
      </c>
      <c r="B30" s="11">
        <v>9215000000</v>
      </c>
    </row>
    <row r="31" spans="1:2" x14ac:dyDescent="0.25">
      <c r="A31" t="s">
        <v>32</v>
      </c>
      <c r="B31" s="13">
        <v>294000000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-0.03004333914125812</v>
      </c>
      <c r="C5" s="10">
        <f>Assumptions!B6</f>
        <v>-0.03004333914125812</v>
      </c>
      <c r="D5" s="10">
        <f>Assumptions!B6</f>
        <v>-0.03004333914125812</v>
      </c>
      <c r="E5" s="10">
        <f>Assumptions!B6</f>
        <v>-0.03004333914125812</v>
      </c>
      <c r="F5" s="10">
        <f>Assumptions!B6</f>
        <v>-0.03004333914125812</v>
      </c>
    </row>
    <row r="6" spans="1:6" x14ac:dyDescent="0.25">
      <c r="A6" t="s">
        <v>43</v>
      </c>
      <c r="B6" s="18">
        <f>Assumptions!B29*(1+B5)</f>
        <v>33189007064.603573</v>
      </c>
      <c r="C6" s="18">
        <f>B6*(1+C5)</f>
        <v>32191898469.600075</v>
      </c>
      <c r="D6" s="18">
        <f>C6*(1+D5)</f>
        <v>31224746346.27693</v>
      </c>
      <c r="E6" s="18">
        <f>D6*(1+E5)</f>
        <v>30286650702.195972</v>
      </c>
      <c r="F6" s="18">
        <f>E6*(1+F5)</f>
        <v>29376738583.697075</v>
      </c>
    </row>
    <row r="7" spans="1:6" x14ac:dyDescent="0.25">
      <c r="A7" t="s">
        <v>5</v>
      </c>
      <c r="B7" s="10">
        <f>Assumptions!B7</f>
        <v>0.10381723445341662</v>
      </c>
      <c r="C7" s="10">
        <f>Assumptions!B7</f>
        <v>0.10381723445341662</v>
      </c>
      <c r="D7" s="10">
        <f>Assumptions!B7</f>
        <v>0.10381723445341662</v>
      </c>
      <c r="E7" s="10">
        <f>Assumptions!B7</f>
        <v>0.10381723445341662</v>
      </c>
      <c r="F7" s="10">
        <f>Assumptions!B7</f>
        <v>0.10381723445341662</v>
      </c>
    </row>
    <row r="8" spans="1:6" x14ac:dyDescent="0.25">
      <c r="A8" t="s">
        <v>44</v>
      </c>
      <c r="B8" s="18">
        <f>B6*B7</f>
        <v>3445590927.7020497</v>
      </c>
      <c r="C8" s="18">
        <f>C6*C7</f>
        <v>3342073870.9190545</v>
      </c>
      <c r="D8" s="18">
        <f>D6*D7</f>
        <v>3241666812.1798964</v>
      </c>
      <c r="E8" s="18">
        <f>E6*E7</f>
        <v>3144276316.7586145</v>
      </c>
      <c r="F8" s="18">
        <f>F6*F7</f>
        <v>3049811757.020409</v>
      </c>
    </row>
    <row r="9" spans="1:6" x14ac:dyDescent="0.25">
      <c r="A9" t="s">
        <v>45</v>
      </c>
      <c r="B9" s="18">
        <f>B8*(1-Assumptions!B8)</f>
        <v>2584193195.7765374</v>
      </c>
      <c r="C9" s="18">
        <f>C8*(1-Assumptions!B8)</f>
        <v>2506555403.189291</v>
      </c>
      <c r="D9" s="18">
        <f>D8*(1-Assumptions!B8)</f>
        <v>2431250109.134922</v>
      </c>
      <c r="E9" s="18">
        <f>E8*(1-Assumptions!B8)</f>
        <v>2358207237.568961</v>
      </c>
      <c r="F9" s="18">
        <f>F8*(1-Assumptions!B8)</f>
        <v>2287358817.765307</v>
      </c>
    </row>
    <row r="10" spans="1:6" x14ac:dyDescent="0.25">
      <c r="A10" t="s">
        <v>46</v>
      </c>
      <c r="B10" s="18">
        <f>B6*Assumptions!B9</f>
        <v>1980443774.7349935</v>
      </c>
      <c r="C10" s="18">
        <f>C6*Assumptions!B9</f>
        <v>1920944630.7604365</v>
      </c>
      <c r="D10" s="18">
        <f>D6*Assumptions!B9</f>
        <v>1863233039.7469218</v>
      </c>
      <c r="E10" s="18">
        <f>E6*Assumptions!B9</f>
        <v>1807255297.6346078</v>
      </c>
      <c r="F10" s="18">
        <f>F6*Assumptions!B9</f>
        <v>1752959313.8129358</v>
      </c>
    </row>
    <row r="11" spans="1:6" x14ac:dyDescent="0.25">
      <c r="A11" t="s">
        <v>47</v>
      </c>
      <c r="B11" s="18">
        <f>-B6*Assumptions!B10</f>
        <v>-1349180117.669096</v>
      </c>
      <c r="C11" s="18">
        <f>-C6*Assumptions!B10</f>
        <v>-1308646241.8313205</v>
      </c>
      <c r="D11" s="18">
        <f>-D6*Assumptions!B10</f>
        <v>-1269330138.9720495</v>
      </c>
      <c r="E11" s="18">
        <f>-E6*Assumptions!B10</f>
        <v>-1231195223.1246917</v>
      </c>
      <c r="F11" s="18">
        <f>-F6*Assumptions!B10</f>
        <v>-1194206007.4872596</v>
      </c>
    </row>
    <row r="12" spans="1:6" x14ac:dyDescent="0.25">
      <c r="A12" t="s">
        <v>48</v>
      </c>
      <c r="B12" s="18">
        <f>-(B6-Assumptions!B29)*Assumptions!B11</f>
        <v>-765844080.4128186</v>
      </c>
      <c r="C12" s="18">
        <f>-(C6-B6)*Assumptions!B11</f>
        <v>-742835566.9756538</v>
      </c>
      <c r="D12" s="18">
        <f>-(D6-C6)*Assumptions!B11</f>
        <v>-720518306.1108142</v>
      </c>
      <c r="E12" s="18">
        <f>-(E6-D6)*Assumptions!B11</f>
        <v>-698871530.2828432</v>
      </c>
      <c r="F12" s="18">
        <f>-(F6-E6)*Assumptions!B11</f>
        <v>-677875095.8823854</v>
      </c>
    </row>
    <row r="13" spans="1:6" x14ac:dyDescent="0.25">
      <c r="A13" s="19" t="s">
        <v>49</v>
      </c>
      <c r="B13" s="20">
        <f>B9+B10+B11+B12</f>
        <v>2449612772.4296165</v>
      </c>
      <c r="C13" s="20">
        <f>C9+C10+C11+C12</f>
        <v>2376018225.1427536</v>
      </c>
      <c r="D13" s="20">
        <f>D9+D10+D11+D12</f>
        <v>2304634703.7989798</v>
      </c>
      <c r="E13" s="20">
        <f>E9+E10+E11+E12</f>
        <v>2235395781.7960343</v>
      </c>
      <c r="F13" s="20">
        <f>F9+F10+F11+F12</f>
        <v>2168237028.208598</v>
      </c>
    </row>
    <row r="14" spans="1:6" x14ac:dyDescent="0.25">
      <c r="A14" t="s">
        <v>50</v>
      </c>
      <c r="B14" s="21">
        <f>1/(1+Assumptions!$B$26)^(1-0.5*Assumptions!$B$32)</f>
        <v>0.9731437512708769</v>
      </c>
      <c r="C14" s="21">
        <f>1/(1+Assumptions!$B$26)^(2-0.5*Assumptions!$B$32)</f>
        <v>0.9215756578132137</v>
      </c>
      <c r="D14" s="21">
        <f>1/(1+Assumptions!$B$26)^(3-0.5*Assumptions!$B$32)</f>
        <v>0.8727402215394306</v>
      </c>
      <c r="E14" s="21">
        <f>1/(1+Assumptions!$B$26)^(4-0.5*Assumptions!$B$32)</f>
        <v>0.8264926355586009</v>
      </c>
      <c r="F14" s="21">
        <f>1/(1+Assumptions!$B$26)^(5-0.5*Assumptions!$B$32)</f>
        <v>0.7826957664764165</v>
      </c>
    </row>
    <row r="15" spans="1:6" x14ac:dyDescent="0.25">
      <c r="A15" s="19" t="s">
        <v>51</v>
      </c>
      <c r="B15" s="20">
        <f>B13*B14</f>
        <v>2383825362.52321</v>
      </c>
      <c r="C15" s="20">
        <f>C13*C14</f>
        <v>2189680558.8121176</v>
      </c>
      <c r="D15" s="20">
        <f>D13*D14</f>
        <v>2011347401.9609818</v>
      </c>
      <c r="E15" s="20">
        <f>E13*E14</f>
        <v>1847538151.2131834</v>
      </c>
      <c r="F15" s="20">
        <f>F13*F14</f>
        <v>1697069942.6962762</v>
      </c>
    </row>
    <row r="17" spans="1:2" x14ac:dyDescent="0.25">
      <c r="A17" s="22" t="s">
        <v>52</v>
      </c>
      <c r="B17" s="23">
        <f>SUM(B15:F15)</f>
        <v>10129461417.205769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2168237028.208598</v>
      </c>
    </row>
    <row r="5" spans="1:2" x14ac:dyDescent="0.25">
      <c r="A5" t="s">
        <v>56</v>
      </c>
      <c r="B5" s="18">
        <f>IF(Assumptions!$B$33=0,B4,B4-Forecast!F11-Forecast!F10-Forecast!F12)</f>
        <v>2379801333.482539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0.40732587998349645</v>
      </c>
    </row>
    <row r="7" spans="1:2" x14ac:dyDescent="0.25">
      <c r="A7" t="s">
        <v>58</v>
      </c>
      <c r="B7" s="18">
        <f>-MAX(Forecast!F9,0)*B6</f>
        <v>-969354672.3466736</v>
      </c>
    </row>
    <row r="8" spans="1:2" x14ac:dyDescent="0.25">
      <c r="A8" t="s">
        <v>59</v>
      </c>
      <c r="B8" s="18">
        <f>IF(OR(Assumptions!$B$33=0,Assumptions!B12&lt;=0),B5,MAX(B5+B7,0))</f>
        <v>1410446661.1358657</v>
      </c>
    </row>
    <row r="9" spans="1:2" x14ac:dyDescent="0.25">
      <c r="A9" t="s">
        <v>60</v>
      </c>
      <c r="B9" s="18">
        <f>B8*(1+Assumptions!B12)/(Assumptions!B26-Assumptions!B12)</f>
        <v>46701358572.480675</v>
      </c>
    </row>
    <row r="10" spans="1:2" x14ac:dyDescent="0.25">
      <c r="A10" t="s">
        <v>61</v>
      </c>
      <c r="B10" s="18">
        <f>B9/(1+Assumptions!B26)^(5-0.5*Assumptions!B32)</f>
        <v>36552955643.37772</v>
      </c>
    </row>
    <row r="11" spans="1:2" x14ac:dyDescent="0.25">
      <c r="A11" t="s">
        <v>62</v>
      </c>
      <c r="B11" s="18">
        <f>Forecast!B17+B10</f>
        <v>46682417060.583496</v>
      </c>
    </row>
    <row r="12" spans="1:2" x14ac:dyDescent="0.25">
      <c r="A12" t="s">
        <v>63</v>
      </c>
      <c r="B12" s="18">
        <f>-Assumptions!B30</f>
        <v>-9215000000</v>
      </c>
    </row>
    <row r="13" spans="1:2" x14ac:dyDescent="0.25">
      <c r="A13" t="s">
        <v>64</v>
      </c>
      <c r="B13" s="18">
        <f>B11+B12</f>
        <v>37467417060.583496</v>
      </c>
    </row>
    <row r="14" spans="1:2" x14ac:dyDescent="0.25">
      <c r="A14" s="19" t="s">
        <v>65</v>
      </c>
      <c r="B14" s="24">
        <f>B13/Assumptions!B31</f>
        <v>127.44019408361733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4802771070.833345</v>
      </c>
    </row>
    <row r="18" spans="1:2" x14ac:dyDescent="0.25">
      <c r="A18" t="s">
        <v>60</v>
      </c>
      <c r="B18" s="18">
        <f>B17*Assumptions!B13</f>
        <v>21844461425.695686</v>
      </c>
    </row>
    <row r="19" spans="1:2" x14ac:dyDescent="0.25">
      <c r="A19" t="s">
        <v>61</v>
      </c>
      <c r="B19" s="18">
        <f>B18/(1+Assumptions!B26)^(5-0.5*Assumptions!B32)</f>
        <v>17097567478.8494</v>
      </c>
    </row>
    <row r="20" spans="1:2" x14ac:dyDescent="0.25">
      <c r="A20" t="s">
        <v>62</v>
      </c>
      <c r="B20" s="18">
        <f>Forecast!B17+B19</f>
        <v>27227028896.05517</v>
      </c>
    </row>
    <row r="21" spans="1:2" x14ac:dyDescent="0.25">
      <c r="A21" t="s">
        <v>63</v>
      </c>
      <c r="B21" s="18">
        <f>-Assumptions!B30</f>
        <v>-9215000000</v>
      </c>
    </row>
    <row r="22" spans="1:2" x14ac:dyDescent="0.25">
      <c r="A22" t="s">
        <v>64</v>
      </c>
      <c r="B22" s="18">
        <f>B20+B21</f>
        <v>18012028896.05517</v>
      </c>
    </row>
    <row r="23" spans="1:2" x14ac:dyDescent="0.25">
      <c r="A23" s="19" t="s">
        <v>65</v>
      </c>
      <c r="B23" s="25">
        <f>B22/Assumptions!B31</f>
        <v>61.26540440835091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57.54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127.44019408361733</v>
      </c>
    </row>
    <row r="29" spans="1:2" x14ac:dyDescent="0.25">
      <c r="A29" s="19" t="s">
        <v>73</v>
      </c>
      <c r="B29" s="12">
        <f>B28/B26-1</f>
        <v>1.2148104637403083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0.035956</v>
      </c>
      <c r="B5" s="31">
        <v>257.39628246876214</v>
      </c>
      <c r="C5" s="31">
        <v>302.2596888741653</v>
      </c>
      <c r="D5" s="31">
        <v>387.55837950944704</v>
      </c>
      <c r="E5" s="31">
        <v>615.1273549535495</v>
      </c>
      <c r="F5" s="31">
        <v>3217.240958441114</v>
      </c>
    </row>
    <row r="6" spans="1:6" x14ac:dyDescent="0.25">
      <c r="A6" s="30">
        <v>0.045956</v>
      </c>
      <c r="B6" s="31">
        <v>167.71820787349432</v>
      </c>
      <c r="C6" s="31">
        <v>179.07045787350887</v>
      </c>
      <c r="D6" s="31">
        <v>195.58282432815048</v>
      </c>
      <c r="E6" s="31">
        <v>222.1062565241706</v>
      </c>
      <c r="F6" s="31">
        <v>272.34703285885644</v>
      </c>
    </row>
    <row r="7" spans="1:6" x14ac:dyDescent="0.25">
      <c r="A7" s="30">
        <v>0.055956</v>
      </c>
      <c r="B7" s="31">
        <v>121.75019041960928</v>
      </c>
      <c r="C7" s="31">
        <v>124.27221849164155</v>
      </c>
      <c r="D7" s="32">
        <v>127.44223014963428</v>
      </c>
      <c r="E7" s="31">
        <v>131.63469579693935</v>
      </c>
      <c r="F7" s="31">
        <v>137.58147312775827</v>
      </c>
    </row>
    <row r="8" spans="1:6" x14ac:dyDescent="0.25">
      <c r="A8" s="30">
        <v>0.065956</v>
      </c>
      <c r="B8" s="31">
        <v>95.81459387535776</v>
      </c>
      <c r="C8" s="31">
        <v>96.27493769300692</v>
      </c>
      <c r="D8" s="31">
        <v>96.73528151065604</v>
      </c>
      <c r="E8" s="31">
        <v>97.1956253283052</v>
      </c>
      <c r="F8" s="31">
        <v>97.65596914595432</v>
      </c>
    </row>
    <row r="9" spans="1:6" x14ac:dyDescent="0.25">
      <c r="A9" s="30">
        <v>0.075956</v>
      </c>
      <c r="B9" s="31">
        <v>79.45534128645441</v>
      </c>
      <c r="C9" s="31">
        <v>79.83862996282308</v>
      </c>
      <c r="D9" s="31">
        <v>80.22191863919174</v>
      </c>
      <c r="E9" s="31">
        <v>80.6052073155604</v>
      </c>
      <c r="F9" s="31">
        <v>80.98849599192906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34217000000</v>
      </c>
      <c r="C5" s="18">
        <v>35779000000</v>
      </c>
      <c r="D5" s="18">
        <v>36049000000</v>
      </c>
      <c r="E5" s="18">
        <v>37496000000</v>
      </c>
      <c r="F5" s="8" t="s">
        <v>84</v>
      </c>
    </row>
    <row r="6" spans="1:6" x14ac:dyDescent="0.25">
      <c r="A6" t="s">
        <v>44</v>
      </c>
      <c r="B6" s="18">
        <v>3544000000</v>
      </c>
      <c r="C6" s="18">
        <v>3379000000</v>
      </c>
      <c r="D6" s="18">
        <v>4214000000</v>
      </c>
      <c r="E6" s="18">
        <v>3763000000</v>
      </c>
      <c r="F6" s="8" t="s">
        <v>85</v>
      </c>
    </row>
    <row r="7" spans="1:6" x14ac:dyDescent="0.25">
      <c r="A7" t="s">
        <v>86</v>
      </c>
      <c r="B7" s="18">
        <v>2192000000</v>
      </c>
      <c r="C7" s="18">
        <v>2174000000</v>
      </c>
      <c r="D7" s="18">
        <v>2078000000</v>
      </c>
      <c r="E7" s="18">
        <v>2108000000</v>
      </c>
      <c r="F7" s="8" t="s">
        <v>87</v>
      </c>
    </row>
    <row r="8" spans="1:6" x14ac:dyDescent="0.25">
      <c r="A8" t="s">
        <v>88</v>
      </c>
      <c r="B8" s="18">
        <v>1345000000</v>
      </c>
      <c r="C8" s="18">
        <v>1376000000</v>
      </c>
      <c r="D8" s="18">
        <v>1847000000</v>
      </c>
      <c r="E8" s="18">
        <v>1260000000</v>
      </c>
      <c r="F8" s="8" t="s">
        <v>89</v>
      </c>
    </row>
    <row r="9" spans="1:6" x14ac:dyDescent="0.25">
      <c r="A9" t="s">
        <v>90</v>
      </c>
      <c r="B9" s="18">
        <v>528000000</v>
      </c>
      <c r="C9" s="18">
        <v>828000000</v>
      </c>
      <c r="D9" s="18">
        <v>1078000000</v>
      </c>
      <c r="E9" s="18">
        <v>1308000000</v>
      </c>
      <c r="F9" s="8" t="s">
        <v>91</v>
      </c>
    </row>
    <row r="10" spans="1:6" x14ac:dyDescent="0.25">
      <c r="A10" t="s">
        <v>92</v>
      </c>
      <c r="B10" s="18">
        <v>18151000000</v>
      </c>
      <c r="C10" s="18">
        <v>19402000000</v>
      </c>
      <c r="D10" s="18">
        <v>20366000000</v>
      </c>
      <c r="E10" s="18">
        <v>19959000000</v>
      </c>
      <c r="F10" s="8" t="s">
        <v>93</v>
      </c>
    </row>
    <row r="11" spans="1:6" x14ac:dyDescent="0.25">
      <c r="A11" t="s">
        <v>94</v>
      </c>
      <c r="B11" s="18">
        <v>8936000000</v>
      </c>
      <c r="C11" s="18">
        <v>4888000000</v>
      </c>
      <c r="D11" s="18">
        <v>4853000000</v>
      </c>
      <c r="E11" s="18">
        <v>5916000000</v>
      </c>
      <c r="F11" s="8" t="s">
        <v>95</v>
      </c>
    </row>
    <row r="12" spans="1:6" x14ac:dyDescent="0.25">
      <c r="A12" t="s">
        <v>32</v>
      </c>
      <c r="B12" s="34">
        <v>294000000</v>
      </c>
      <c r="C12" s="34">
        <v>290000000</v>
      </c>
      <c r="D12" s="34">
        <v>290000000</v>
      </c>
      <c r="E12" s="34">
        <v>289000000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2026-09-19T00:08:10Z</dcterms:modified>
</cp:coreProperties>
</file>