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<sst xmlns="http://schemas.openxmlformats.org/spreadsheetml/2006/main" count="114" uniqueCount="102">
  <si>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Frasers Centrepoint Trust (J69U.SI)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</si>
  <si>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</si>
  <si>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</si>
  <si>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</si>
  <si>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</si>
  <si>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</si>
  <si>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</si>
  <si>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</si>
  <si>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</si>
  <si>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</si>
  <si>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</si>
  <si>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</si>
  <si>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</si>
  <si>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</si>
  <si>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</si>
  <si>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</si>
  <si>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</si>
  <si>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</si>
  <si>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</si>
  <si>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</si>
  <si>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</si>
  <si>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</si>
  <si>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</si>
  <si>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</si>
  <si>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</si>
  <si>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</si>
  <si>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</si>
  <si>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</si>
  <si>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</si>
  <si>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</si>
  <si>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2024-09-30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</si>
  <si>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</si>
  <si>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</si>
  <si>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</si>
  <si>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</si>
  <si>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</si>
  <si>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</si>
  <si>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</si>
  <si>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</si>
  <si>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</si>
  <si>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</si>
  <si>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</si>
  <si>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</si>
  <si>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</si>
  <si>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</si>
  <si>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</si>
  <si>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</si>
  <si>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</si>
  <si>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</si>
  <si>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</si>
  <si>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</si>
  <si>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</si>
  <si>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</si>
  <si>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</si>
  <si>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</si>
  <si>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</si>
  <si>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</si>
  <si>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</si>
  <si>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</si>
  <si>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</si>
  <si>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</si>
  <si>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</si>
  <si>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</si>
  <si>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</si>
  <si>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</si>
  <si>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</si>
  <si>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</si>
  <si>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</si>
  <si>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</si>
  <si>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</si>
  <si>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</si>
  <si>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</si>
  <si>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</si>
  <si>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</si>
  <si>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</si>
  <si>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</si>
  <si>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</si>
  <si>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</si>
  <si>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</si>
  <si>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2024-09-30</t>
  </si>
  <si>
    <t>2023-09-30</t>
  </si>
  <si>
    <t>2022-09-30</t>
  </si>
  <si>
    <t>2021-09-30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</si>
  <si>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</si>
  <si>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</si>
  <si>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</si>
  <si>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</si>
  <si>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</si>
  <si>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</si>
  <si>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</si>
  <si>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</si>
  <si>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</si>
  <si>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</si>
  <si>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</si>
  <si>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</si>
  <si>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</si>
  <si>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</si>
  <si>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</si>
  <si>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4.4%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</si>
  <si>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</si>
  <si>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29.4x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</si>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</sst>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0.010236381289491892</v>
      </c>
    </row>
    <row r="7" spans="1:2" x14ac:dyDescent="0.25">
      <c r="A7" t="s">
        <v>5</v>
      </c>
      <c r="B7" s="6">
        <v>0.6157084354621485</v>
      </c>
    </row>
    <row r="8" spans="1:2" x14ac:dyDescent="0.25">
      <c r="A8" t="s">
        <v>6</v>
      </c>
      <c r="B8" s="6">
        <v>0.011065594637500028</v>
      </c>
    </row>
    <row r="9" spans="1:2" x14ac:dyDescent="0.25">
      <c r="A9" t="s">
        <v>7</v>
      </c>
      <c r="B9" s="6">
        <v>0.00012651182847457868</v>
      </c>
    </row>
    <row r="10" spans="1:2" x14ac:dyDescent="0.25">
      <c r="A10" t="s">
        <v>8</v>
      </c>
      <c r="B10" s="6">
        <v>0.04364062638965384</v>
      </c>
    </row>
    <row r="11" spans="1:2" x14ac:dyDescent="0.25">
      <c r="A11" t="s">
        <v>9</v>
      </c>
      <c r="B11" s="6">
        <v>-0.5437840577873527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0.06666204063076195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0.5624899999999999</v>
      </c>
      <c r="C19" s="8" t="s">
        <v>19</v>
      </c>
    </row>
    <row r="20" spans="1:2" x14ac:dyDescent="0.25">
      <c r="A20" t="s">
        <v>20</v>
      </c>
      <c r="B20" s="10">
        <f>B17+B19*B18</f>
        <v>0.07856185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4282540288</v>
      </c>
    </row>
    <row r="23" spans="1:2" x14ac:dyDescent="0.25">
      <c r="A23" t="s">
        <v>24</v>
      </c>
      <c r="B23" s="11">
        <v>2028170000</v>
      </c>
    </row>
    <row r="24" spans="1:2" x14ac:dyDescent="0.25">
      <c r="A24" t="s">
        <v>25</v>
      </c>
      <c r="B24" s="10">
        <f>B22/(B22+B23)</f>
        <v>0.6786146237996974</v>
      </c>
    </row>
    <row r="25" spans="1:2" x14ac:dyDescent="0.25">
      <c r="A25" t="s">
        <v>26</v>
      </c>
      <c r="B25" s="10">
        <f>1-B24</f>
        <v>0.3213853762003026</v>
      </c>
    </row>
    <row r="26" spans="1:2" x14ac:dyDescent="0.25">
      <c r="A26" t="s">
        <v>27</v>
      </c>
      <c r="B26" s="12">
        <f>B24*B20+B25*B21*(1-B8)</f>
        <v>0.06666204063076195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351733000</v>
      </c>
      <c r="C29" s="8" t="s">
        <v>30</v>
      </c>
    </row>
    <row r="30" spans="1:2" x14ac:dyDescent="0.25">
      <c r="A30" t="s">
        <v>31</v>
      </c>
      <c r="B30" s="11">
        <v>2001359000</v>
      </c>
    </row>
    <row r="31" spans="1:2" x14ac:dyDescent="0.25">
      <c r="A31" t="s">
        <v>32</v>
      </c>
      <c r="B31" s="13">
        <v>1790356766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0.010236381289491892</v>
      </c>
      <c r="C5" s="10">
        <f>Assumptions!B6</f>
        <v>0.010236381289491892</v>
      </c>
      <c r="D5" s="10">
        <f>Assumptions!B6</f>
        <v>0.010236381289491892</v>
      </c>
      <c r="E5" s="10">
        <f>Assumptions!B6</f>
        <v>0.010236381289491892</v>
      </c>
      <c r="F5" s="10">
        <f>Assumptions!B6</f>
        <v>0.010236381289491892</v>
      </c>
    </row>
    <row r="6" spans="1:6" x14ac:dyDescent="0.25">
      <c r="A6" t="s">
        <v>43</v>
      </c>
      <c r="B6" s="18">
        <f>Assumptions!B29*(1+B5)</f>
        <v>355333473.1000968</v>
      </c>
      <c r="C6" s="18">
        <f>B6*(1+C5)</f>
        <v>358970802.0156688</v>
      </c>
      <c r="D6" s="18">
        <f>C6*(1+D5)</f>
        <v>362645364.0168959</v>
      </c>
      <c r="E6" s="18">
        <f>D6*(1+E5)</f>
        <v>366357540.2358394</v>
      </c>
      <c r="F6" s="18">
        <f>E6*(1+F5)</f>
        <v>370107715.70597386</v>
      </c>
    </row>
    <row r="7" spans="1:6" x14ac:dyDescent="0.25">
      <c r="A7" t="s">
        <v>5</v>
      </c>
      <c r="B7" s="10">
        <f>Assumptions!B7</f>
        <v>0.6157084354621485</v>
      </c>
      <c r="C7" s="10">
        <f>Assumptions!B7</f>
        <v>0.6157084354621485</v>
      </c>
      <c r="D7" s="10">
        <f>Assumptions!B7</f>
        <v>0.6157084354621485</v>
      </c>
      <c r="E7" s="10">
        <f>Assumptions!B7</f>
        <v>0.6157084354621485</v>
      </c>
      <c r="F7" s="10">
        <f>Assumptions!B7</f>
        <v>0.6157084354621485</v>
      </c>
    </row>
    <row r="8" spans="1:6" x14ac:dyDescent="0.25">
      <c r="A8" t="s">
        <v>44</v>
      </c>
      <c r="B8" s="18">
        <f>B6*B7</f>
        <v>218781816.78979203</v>
      </c>
      <c r="C8" s="18">
        <f>C6*C7</f>
        <v>221021350.8856601</v>
      </c>
      <c r="D8" s="18">
        <f>D6*D7</f>
        <v>223283809.7064443</v>
      </c>
      <c r="E8" s="18">
        <f>E6*E7</f>
        <v>225569427.9183698</v>
      </c>
      <c r="F8" s="18">
        <f>F6*F7</f>
        <v>227878442.5897948</v>
      </c>
    </row>
    <row r="9" spans="1:6" x14ac:dyDescent="0.25">
      <c r="A9" t="s">
        <v>45</v>
      </c>
      <c r="B9" s="18">
        <f>B8*(1-Assumptions!B8)</f>
        <v>216360865.8911404</v>
      </c>
      <c r="C9" s="18">
        <f>C8*(1-Assumptions!B8)</f>
        <v>218575618.21052673</v>
      </c>
      <c r="D9" s="18">
        <f>D8*(1-Assumptions!B8)</f>
        <v>220813041.57911608</v>
      </c>
      <c r="E9" s="18">
        <f>E8*(1-Assumptions!B8)</f>
        <v>223073368.06641233</v>
      </c>
      <c r="F9" s="18">
        <f>F8*(1-Assumptions!B8)</f>
        <v>225356832.11747134</v>
      </c>
    </row>
    <row r="10" spans="1:6" x14ac:dyDescent="0.25">
      <c r="A10" t="s">
        <v>46</v>
      </c>
      <c r="B10" s="18">
        <f>B6*Assumptions!B9</f>
        <v>44953.88740011577</v>
      </c>
      <c r="C10" s="18">
        <f>C6*Assumptions!B9</f>
        <v>45414.052531988236</v>
      </c>
      <c r="D10" s="18">
        <f>D6*Assumptions!B9</f>
        <v>45878.92808960668</v>
      </c>
      <c r="E10" s="18">
        <f>E6*Assumptions!B9</f>
        <v>46348.56229068508</v>
      </c>
      <c r="F10" s="18">
        <f>F6*Assumptions!B9</f>
        <v>46823.00384651229</v>
      </c>
    </row>
    <row r="11" spans="1:6" x14ac:dyDescent="0.25">
      <c r="A11" t="s">
        <v>47</v>
      </c>
      <c r="B11" s="18">
        <f>-B6*Assumptions!B10</f>
        <v>-15506975.343299437</v>
      </c>
      <c r="C11" s="18">
        <f>-C6*Assumptions!B10</f>
        <v>-15665710.6555602</v>
      </c>
      <c r="D11" s="18">
        <f>-D6*Assumptions!B10</f>
        <v>-15826070.84300137</v>
      </c>
      <c r="E11" s="18">
        <f>-E6*Assumptions!B10</f>
        <v>-15988072.538464842</v>
      </c>
      <c r="F11" s="18">
        <f>-F6*Assumptions!B10</f>
        <v>-16151732.545052623</v>
      </c>
    </row>
    <row r="12" spans="1:6" x14ac:dyDescent="0.25">
      <c r="A12" t="s">
        <v>48</v>
      </c>
      <c r="B12" s="18">
        <f>-(B6-Assumptions!B29)*Assumptions!B11</f>
        <v>1957879.8723248593</v>
      </c>
      <c r="C12" s="18">
        <f>-(C6-B6)*Assumptions!B11</f>
        <v>1977921.4772170067</v>
      </c>
      <c r="D12" s="18">
        <f>-(D6-C6)*Assumptions!B11</f>
        <v>1998168.2356184775</v>
      </c>
      <c r="E12" s="18">
        <f>-(E6-D6)*Assumptions!B11</f>
        <v>2018622.2475588284</v>
      </c>
      <c r="F12" s="18">
        <f>-(F6-E6)*Assumptions!B11</f>
        <v>2039285.6345642975</v>
      </c>
    </row>
    <row r="13" spans="1:6" x14ac:dyDescent="0.25">
      <c r="A13" s="19" t="s">
        <v>49</v>
      </c>
      <c r="B13" s="20">
        <f>B9+B10+B11+B12</f>
        <v>202856724.30756593</v>
      </c>
      <c r="C13" s="20">
        <f>C9+C10+C11+C12</f>
        <v>204933243.08471555</v>
      </c>
      <c r="D13" s="20">
        <f>D9+D10+D11+D12</f>
        <v>207031017.8998228</v>
      </c>
      <c r="E13" s="20">
        <f>E9+E10+E11+E12</f>
        <v>209150266.33779702</v>
      </c>
      <c r="F13" s="20">
        <f>F9+F10+F11+F12</f>
        <v>211291208.21082956</v>
      </c>
    </row>
    <row r="14" spans="1:6" x14ac:dyDescent="0.25">
      <c r="A14" t="s">
        <v>50</v>
      </c>
      <c r="B14" s="21">
        <f>1/(1+Assumptions!$B$26)^(1-0.5*Assumptions!$B$32)</f>
        <v>0.9682479361555607</v>
      </c>
      <c r="C14" s="21">
        <f>1/(1+Assumptions!$B$26)^(2-0.5*Assumptions!$B$32)</f>
        <v>0.907736376915593</v>
      </c>
      <c r="D14" s="21">
        <f>1/(1+Assumptions!$B$26)^(3-0.5*Assumptions!$B$32)</f>
        <v>0.8510065440960197</v>
      </c>
      <c r="E14" s="21">
        <f>1/(1+Assumptions!$B$26)^(4-0.5*Assumptions!$B$32)</f>
        <v>0.7978220951715729</v>
      </c>
      <c r="F14" s="21">
        <f>1/(1+Assumptions!$B$26)^(5-0.5*Assumptions!$B$32)</f>
        <v>0.7479614580638749</v>
      </c>
    </row>
    <row r="15" spans="1:6" x14ac:dyDescent="0.25">
      <c r="A15" s="19" t="s">
        <v>51</v>
      </c>
      <c r="B15" s="20">
        <f>B13*B14</f>
        <v>196415604.6460783</v>
      </c>
      <c r="C15" s="20">
        <f>C13*C14</f>
        <v>186025359.58728218</v>
      </c>
      <c r="D15" s="20">
        <f>D13*D14</f>
        <v>176184751.0636094</v>
      </c>
      <c r="E15" s="20">
        <f>E13*E14</f>
        <v>166864703.6953137</v>
      </c>
      <c r="F15" s="20">
        <f>F13*F14</f>
        <v>158037680.16944987</v>
      </c>
    </row>
    <row r="17" spans="1:2" x14ac:dyDescent="0.25">
      <c r="A17" s="22" t="s">
        <v>52</v>
      </c>
      <c r="B17" s="23">
        <f>SUM(B15:F15)</f>
        <v>883528099.1617334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211291208.21082956</v>
      </c>
    </row>
    <row r="5" spans="1:2" x14ac:dyDescent="0.25">
      <c r="A5" t="s">
        <v>56</v>
      </c>
      <c r="B5" s="18">
        <f>IF(Assumptions!$B$33=0,B4,B4-Forecast!F11-Forecast!F10-Forecast!F12)</f>
        <v>225356832.11747134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0.37502602325773193</v>
      </c>
    </row>
    <row r="7" spans="1:2" x14ac:dyDescent="0.25">
      <c r="A7" t="s">
        <v>58</v>
      </c>
      <c r="B7" s="18">
        <f>-MAX(Forecast!F9,0)*B6</f>
        <v>-84514676.5629756</v>
      </c>
    </row>
    <row r="8" spans="1:2" x14ac:dyDescent="0.25">
      <c r="A8" t="s">
        <v>59</v>
      </c>
      <c r="B8" s="18">
        <f>IF(OR(Assumptions!$B$33=0,Assumptions!B12&lt;=0),B5,MAX(B5+B7,0))</f>
        <v>140842155.55449575</v>
      </c>
    </row>
    <row r="9" spans="1:2" x14ac:dyDescent="0.25">
      <c r="A9" t="s">
        <v>60</v>
      </c>
      <c r="B9" s="18">
        <f>B8*(1+Assumptions!B12)/(Assumptions!B26-Assumptions!B12)</f>
        <v>3465101739.081999</v>
      </c>
    </row>
    <row r="10" spans="1:2" x14ac:dyDescent="0.25">
      <c r="A10" t="s">
        <v>61</v>
      </c>
      <c r="B10" s="18">
        <f>B9/(1+Assumptions!B26)^(5-0.5*Assumptions!B32)</f>
        <v>2591762549.1034408</v>
      </c>
    </row>
    <row r="11" spans="1:2" x14ac:dyDescent="0.25">
      <c r="A11" t="s">
        <v>62</v>
      </c>
      <c r="B11" s="18">
        <f>Forecast!B17+B10</f>
        <v>3475290648.265174</v>
      </c>
    </row>
    <row r="12" spans="1:2" x14ac:dyDescent="0.25">
      <c r="A12" t="s">
        <v>63</v>
      </c>
      <c r="B12" s="18">
        <f>-Assumptions!B30</f>
        <v>-2001359000</v>
      </c>
    </row>
    <row r="13" spans="1:2" x14ac:dyDescent="0.25">
      <c r="A13" t="s">
        <v>64</v>
      </c>
      <c r="B13" s="18">
        <f>B11+B12</f>
        <v>1473931648.265174</v>
      </c>
    </row>
    <row r="14" spans="1:2" x14ac:dyDescent="0.25">
      <c r="A14" s="19" t="s">
        <v>65</v>
      </c>
      <c r="B14" s="24">
        <f>B13/Assumptions!B31</f>
        <v>0.8232614170851654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227925265.59364134</v>
      </c>
    </row>
    <row r="18" spans="1:2" x14ac:dyDescent="0.25">
      <c r="A18" t="s">
        <v>60</v>
      </c>
      <c r="B18" s="18">
        <f>B17*Assumptions!B13</f>
        <v>4558505311.872827</v>
      </c>
    </row>
    <row r="19" spans="1:2" x14ac:dyDescent="0.25">
      <c r="A19" t="s">
        <v>61</v>
      </c>
      <c r="B19" s="18">
        <f>B18/(1+Assumptions!B26)^(5-0.5*Assumptions!B32)</f>
        <v>3409586279.6603184</v>
      </c>
    </row>
    <row r="20" spans="1:2" x14ac:dyDescent="0.25">
      <c r="A20" t="s">
        <v>62</v>
      </c>
      <c r="B20" s="18">
        <f>Forecast!B17+B19</f>
        <v>4293114378.822052</v>
      </c>
    </row>
    <row r="21" spans="1:2" x14ac:dyDescent="0.25">
      <c r="A21" t="s">
        <v>63</v>
      </c>
      <c r="B21" s="18">
        <f>-Assumptions!B30</f>
        <v>-2001359000</v>
      </c>
    </row>
    <row r="22" spans="1:2" x14ac:dyDescent="0.25">
      <c r="A22" t="s">
        <v>64</v>
      </c>
      <c r="B22" s="18">
        <f>B20+B21</f>
        <v>2291755378.822052</v>
      </c>
    </row>
    <row r="23" spans="1:2" x14ac:dyDescent="0.25">
      <c r="A23" s="19" t="s">
        <v>65</v>
      </c>
      <c r="B23" s="25">
        <f>B22/Assumptions!B31</f>
        <v>1.2800551389219885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0.8232614170851654</v>
      </c>
    </row>
    <row r="29" spans="1:2" x14ac:dyDescent="0.25">
      <c r="A29" s="19" t="s">
        <v>73</v>
      </c>
      <c r="B29" s="12">
        <f>B28/B26-1</f>
        <v>-0.6079707537689689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0.046662</v>
      </c>
      <c r="B5" s="31">
        <v>1.6286734389350428</v>
      </c>
      <c r="C5" s="31">
        <v>1.6396586586002913</v>
      </c>
      <c r="D5" s="31">
        <v>1.6506438782655404</v>
      </c>
      <c r="E5" s="31">
        <v>1.6616290979307888</v>
      </c>
      <c r="F5" s="31">
        <v>1.6726143175960384</v>
      </c>
    </row>
    <row r="6" spans="1:6" x14ac:dyDescent="0.25">
      <c r="A6" s="30">
        <v>0.056662</v>
      </c>
      <c r="B6" s="31">
        <v>1.1464395952867201</v>
      </c>
      <c r="C6" s="31">
        <v>1.1551071551364342</v>
      </c>
      <c r="D6" s="31">
        <v>1.1637747149861482</v>
      </c>
      <c r="E6" s="31">
        <v>1.1724422748358625</v>
      </c>
      <c r="F6" s="31">
        <v>1.181109834685576</v>
      </c>
    </row>
    <row r="7" spans="1:6" x14ac:dyDescent="0.25">
      <c r="A7" s="30">
        <v>0.066662</v>
      </c>
      <c r="B7" s="31">
        <v>0.8091394252691054</v>
      </c>
      <c r="C7" s="31">
        <v>0.8162010088903047</v>
      </c>
      <c r="D7" s="32">
        <v>0.8232625925115039</v>
      </c>
      <c r="E7" s="31">
        <v>0.8303241761327036</v>
      </c>
      <c r="F7" s="31">
        <v>0.8373857597539028</v>
      </c>
    </row>
    <row r="8" spans="1:6" x14ac:dyDescent="0.25">
      <c r="A8" s="30">
        <v>0.076662</v>
      </c>
      <c r="B8" s="31">
        <v>0.5600421829850191</v>
      </c>
      <c r="C8" s="31">
        <v>0.5659301283692599</v>
      </c>
      <c r="D8" s="31">
        <v>0.5718180737534996</v>
      </c>
      <c r="E8" s="31">
        <v>0.5777060191377404</v>
      </c>
      <c r="F8" s="31">
        <v>0.5835939645219806</v>
      </c>
    </row>
    <row r="9" spans="1:6" x14ac:dyDescent="0.25">
      <c r="A9" s="30">
        <v>0.086662</v>
      </c>
      <c r="B9" s="31">
        <v>0.3686028023464054</v>
      </c>
      <c r="C9" s="31">
        <v>0.3735990882571798</v>
      </c>
      <c r="D9" s="31">
        <v>0.37859537416795364</v>
      </c>
      <c r="E9" s="31">
        <v>0.38359166007872725</v>
      </c>
      <c r="F9" s="31">
        <v>0.38858794598950136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351733000</v>
      </c>
      <c r="C5" s="18">
        <v>369723000</v>
      </c>
      <c r="D5" s="18">
        <v>356931000</v>
      </c>
      <c r="E5" s="18">
        <v>341149000</v>
      </c>
      <c r="F5" s="8" t="s">
        <v>84</v>
      </c>
    </row>
    <row r="6" spans="1:6" x14ac:dyDescent="0.25">
      <c r="A6" t="s">
        <v>44</v>
      </c>
      <c r="B6" s="18">
        <v>213496000</v>
      </c>
      <c r="C6" s="18">
        <v>226255000</v>
      </c>
      <c r="D6" s="18">
        <v>223095000</v>
      </c>
      <c r="E6" s="18">
        <v>211122000</v>
      </c>
      <c r="F6" s="8" t="s">
        <v>85</v>
      </c>
    </row>
    <row r="7" spans="1:6" x14ac:dyDescent="0.25">
      <c r="A7" t="s">
        <v>86</v>
      </c>
      <c r="B7" s="18">
        <v>29000</v>
      </c>
      <c r="C7" s="18">
        <v>43000</v>
      </c>
      <c r="D7" s="18">
        <v>49000</v>
      </c>
      <c r="E7" s="18">
        <v>58000</v>
      </c>
      <c r="F7" s="8" t="s">
        <v>87</v>
      </c>
    </row>
    <row r="8" spans="1:6" x14ac:dyDescent="0.25">
      <c r="A8" t="s">
        <v>88</v>
      </c>
      <c r="B8" s="18">
        <v>41651000</v>
      </c>
      <c r="C8" s="18">
        <v>8332000</v>
      </c>
      <c r="D8" s="18">
        <v>5901000</v>
      </c>
      <c r="E8" s="18">
        <v>5826000</v>
      </c>
      <c r="F8" s="8" t="s">
        <v>89</v>
      </c>
    </row>
    <row r="9" spans="1:6" x14ac:dyDescent="0.25">
      <c r="A9" t="s">
        <v>90</v>
      </c>
      <c r="B9" s="18">
        <v>22153000</v>
      </c>
      <c r="C9" s="18">
        <v>-3481000</v>
      </c>
      <c r="D9" s="18">
        <v>-8582000</v>
      </c>
      <c r="E9" s="18">
        <v>5441000</v>
      </c>
      <c r="F9" s="8" t="s">
        <v>91</v>
      </c>
    </row>
    <row r="10" spans="1:6" x14ac:dyDescent="0.25">
      <c r="A10" t="s">
        <v>92</v>
      </c>
      <c r="B10" s="18">
        <v>2028170000</v>
      </c>
      <c r="C10" s="18">
        <v>2195408000</v>
      </c>
      <c r="D10" s="18">
        <v>1810126000</v>
      </c>
      <c r="E10" s="18">
        <v>1808916000</v>
      </c>
      <c r="F10" s="8" t="s">
        <v>93</v>
      </c>
    </row>
    <row r="11" spans="1:6" x14ac:dyDescent="0.25">
      <c r="A11" t="s">
        <v>94</v>
      </c>
      <c r="B11" s="18">
        <v>26811000</v>
      </c>
      <c r="C11" s="18">
        <v>32206000</v>
      </c>
      <c r="D11" s="18">
        <v>38165000</v>
      </c>
      <c r="E11" s="18">
        <v>42234000</v>
      </c>
      <c r="F11" s="8" t="s">
        <v>95</v>
      </c>
    </row>
    <row r="12" spans="1:6" x14ac:dyDescent="0.25">
      <c r="A12" t="s">
        <v>32</v>
      </c>
      <c r="B12" s="34">
        <v>1790356766</v>
      </c>
      <c r="C12" s="34">
        <v>1716548028</v>
      </c>
      <c r="D12" s="34">
        <v>1709364500</v>
      </c>
      <c r="E12" s="34">
        <v>1704851720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2026-09-19T00:08:44Z</dcterms:modified>
</cp:coreProperties>
</file>