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<sst xmlns="http://schemas.openxmlformats.org/spreadsheetml/2006/main" count="113" uniqueCount="101">
  <si>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JB Hi-Fi Limited (JBH.AX)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</si>
  <si>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</si>
  <si>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</si>
  <si>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</si>
  <si>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</si>
  <si>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</si>
  <si>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</si>
  <si>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</si>
  <si>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</si>
  <si>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</si>
  <si>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</si>
  <si>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</si>
  <si>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</si>
  <si>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</si>
  <si>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</si>
  <si>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</si>
  <si>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</si>
  <si>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</si>
  <si>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</si>
  <si>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</si>
  <si>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</si>
  <si>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</si>
  <si>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</si>
  <si>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</si>
  <si>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</si>
  <si>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</si>
  <si>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</si>
  <si>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</si>
  <si>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</si>
  <si>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</si>
  <si>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</si>
  <si>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</si>
  <si>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</si>
  <si>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</si>
  <si>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</si>
  <si>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</si>
  <si>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</si>
  <si>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</si>
  <si>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</si>
  <si>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</si>
  <si>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</si>
  <si>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</si>
  <si>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</si>
  <si>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</si>
  <si>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</si>
  <si>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</si>
  <si>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</si>
  <si>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</si>
  <si>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</si>
  <si>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</si>
  <si>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</si>
  <si>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</si>
  <si>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</si>
  <si>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</si>
  <si>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</si>
  <si>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</si>
  <si>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</si>
  <si>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</si>
  <si>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</si>
  <si>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</si>
  <si>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</si>
  <si>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</si>
  <si>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</si>
  <si>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</si>
  <si>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</si>
  <si>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</si>
  <si>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</si>
  <si>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</si>
  <si>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</si>
  <si>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</si>
  <si>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</si>
  <si>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</si>
  <si>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</si>
  <si>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</si>
  <si>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</si>
  <si>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</si>
  <si>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</si>
  <si>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</si>
  <si>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</si>
  <si>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</si>
  <si>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</si>
  <si>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</si>
  <si>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</si>
  <si>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</si>
  <si>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</si>
  <si>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</si>
  <si>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</si>
  <si>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</si>
  <si>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</si>
  <si>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</si>
  <si>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</si>
  <si>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</si>
  <si>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</si>
  <si>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</si>
  <si>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</si>
  <si>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</si>
  <si>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</si>
  <si>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</si>
  <si>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</si>
  <si>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0.77% of revenue, which is too low to be the company's real investment - property trusts and similar structures invest through lines that are not reported as capex. Capex has been set to 2.41%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</si>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</sst>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0.047488879721572674</v>
      </c>
    </row>
    <row r="7" spans="1:2" x14ac:dyDescent="0.25">
      <c r="A7" t="s">
        <v>5</v>
      </c>
      <c r="B7" s="6">
        <v>0.04546970614491107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0.02414151974786244</v>
      </c>
    </row>
    <row r="10" spans="1:2" x14ac:dyDescent="0.25">
      <c r="A10" t="s">
        <v>8</v>
      </c>
      <c r="B10" s="6">
        <v>0.02414151974786244</v>
      </c>
    </row>
    <row r="11" spans="1:2" x14ac:dyDescent="0.25">
      <c r="A11" t="s">
        <v>9</v>
      </c>
      <c r="B11" s="6">
        <v>0.19402985074626866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10.456774605263158</v>
      </c>
    </row>
    <row r="14" spans="1:3" x14ac:dyDescent="0.25">
      <c r="A14" t="s">
        <v>12</v>
      </c>
      <c r="B14" s="6">
        <v>0.1921054933913259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0.8861</v>
      </c>
      <c r="C19" s="8" t="s">
        <v>19</v>
      </c>
    </row>
    <row r="20" spans="1:2" x14ac:dyDescent="0.25">
      <c r="A20" t="s">
        <v>20</v>
      </c>
      <c r="B20" s="10">
        <f>B17+B19*B18</f>
        <v>0.10664599999999999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7130762752</v>
      </c>
    </row>
    <row r="23" spans="1:2" x14ac:dyDescent="0.25">
      <c r="A23" t="s">
        <v>24</v>
      </c>
      <c r="B23" s="11">
        <v>705000000</v>
      </c>
    </row>
    <row r="24" spans="1:2" x14ac:dyDescent="0.25">
      <c r="A24" t="s">
        <v>25</v>
      </c>
      <c r="B24" s="10">
        <f>B22/(B22+B23)</f>
        <v>0.9100279038157382</v>
      </c>
    </row>
    <row r="25" spans="1:2" x14ac:dyDescent="0.25">
      <c r="A25" t="s">
        <v>26</v>
      </c>
      <c r="B25" s="10">
        <f>1-B24</f>
        <v>0.08997209618426183</v>
      </c>
    </row>
    <row r="26" spans="1:2" x14ac:dyDescent="0.25">
      <c r="A26" t="s">
        <v>27</v>
      </c>
      <c r="B26" s="12">
        <f>B24*B20+B25*B21*(1-B8)</f>
        <v>0.10041903122308724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11064000000</v>
      </c>
      <c r="C29" s="8" t="s">
        <v>30</v>
      </c>
    </row>
    <row r="30" spans="1:2" x14ac:dyDescent="0.25">
      <c r="A30" t="s">
        <v>31</v>
      </c>
      <c r="B30" s="11">
        <v>498500000</v>
      </c>
    </row>
    <row r="31" spans="1:2" x14ac:dyDescent="0.25">
      <c r="A31" t="s">
        <v>32</v>
      </c>
      <c r="B31" s="13">
        <v>109668465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0.047488879721572674</v>
      </c>
      <c r="C5" s="10">
        <f>Assumptions!B6</f>
        <v>0.047488879721572674</v>
      </c>
      <c r="D5" s="10">
        <f>Assumptions!B6</f>
        <v>0.047488879721572674</v>
      </c>
      <c r="E5" s="10">
        <f>Assumptions!B6</f>
        <v>0.047488879721572674</v>
      </c>
      <c r="F5" s="10">
        <f>Assumptions!B6</f>
        <v>0.047488879721572674</v>
      </c>
    </row>
    <row r="6" spans="1:6" x14ac:dyDescent="0.25">
      <c r="A6" t="s">
        <v>43</v>
      </c>
      <c r="B6" s="18">
        <f>Assumptions!B29*(1+B5)</f>
        <v>11589416965.239481</v>
      </c>
      <c r="C6" s="18">
        <f>B6*(1+C5)</f>
        <v>12139785393.544893</v>
      </c>
      <c r="D6" s="18">
        <f>C6*(1+D5)</f>
        <v>12716290201.94465</v>
      </c>
      <c r="E6" s="18">
        <f>D6*(1+E5)</f>
        <v>13320172577.849413</v>
      </c>
      <c r="F6" s="18">
        <f>E6*(1+F5)</f>
        <v>13952732651.269495</v>
      </c>
    </row>
    <row r="7" spans="1:6" x14ac:dyDescent="0.25">
      <c r="A7" t="s">
        <v>5</v>
      </c>
      <c r="B7" s="10">
        <f>Assumptions!B7</f>
        <v>0.04546970614491107</v>
      </c>
      <c r="C7" s="10">
        <f>Assumptions!B7</f>
        <v>0.04546970614491107</v>
      </c>
      <c r="D7" s="10">
        <f>Assumptions!B7</f>
        <v>0.04546970614491107</v>
      </c>
      <c r="E7" s="10">
        <f>Assumptions!B7</f>
        <v>0.04546970614491107</v>
      </c>
      <c r="F7" s="10">
        <f>Assumptions!B7</f>
        <v>0.04546970614491107</v>
      </c>
    </row>
    <row r="8" spans="1:6" x14ac:dyDescent="0.25">
      <c r="A8" t="s">
        <v>44</v>
      </c>
      <c r="B8" s="18">
        <f>B6*B7</f>
        <v>526967383.80028623</v>
      </c>
      <c r="C8" s="18">
        <f>C6*C7</f>
        <v>551992474.5067699</v>
      </c>
      <c r="D8" s="18">
        <f>D6*D7</f>
        <v>578205978.7358351</v>
      </c>
      <c r="E8" s="18">
        <f>E6*E7</f>
        <v>605664332.9143153</v>
      </c>
      <c r="F8" s="18">
        <f>F6*F7</f>
        <v>634426653.5717299</v>
      </c>
    </row>
    <row r="9" spans="1:6" x14ac:dyDescent="0.25">
      <c r="A9" t="s">
        <v>45</v>
      </c>
      <c r="B9" s="18">
        <f>B8*(1-Assumptions!B8)</f>
        <v>368877168.66020036</v>
      </c>
      <c r="C9" s="18">
        <f>C8*(1-Assumptions!B8)</f>
        <v>386394732.1547389</v>
      </c>
      <c r="D9" s="18">
        <f>D8*(1-Assumptions!B8)</f>
        <v>404744185.1150845</v>
      </c>
      <c r="E9" s="18">
        <f>E8*(1-Assumptions!B8)</f>
        <v>423965033.0400207</v>
      </c>
      <c r="F9" s="18">
        <f>F8*(1-Assumptions!B8)</f>
        <v>444098657.5002109</v>
      </c>
    </row>
    <row r="10" spans="1:6" x14ac:dyDescent="0.25">
      <c r="A10" t="s">
        <v>46</v>
      </c>
      <c r="B10" s="18">
        <f>B6*Assumptions!B9</f>
        <v>279786138.5325409</v>
      </c>
      <c r="C10" s="18">
        <f>C6*Assumptions!B9</f>
        <v>293072868.813076</v>
      </c>
      <c r="D10" s="18">
        <f>D6*Assumptions!B9</f>
        <v>306990571.0297964</v>
      </c>
      <c r="E10" s="18">
        <f>E6*Assumptions!B9</f>
        <v>321569209.3330873</v>
      </c>
      <c r="F10" s="18">
        <f>F6*Assumptions!B9</f>
        <v>336840170.8372676</v>
      </c>
    </row>
    <row r="11" spans="1:6" x14ac:dyDescent="0.25">
      <c r="A11" t="s">
        <v>47</v>
      </c>
      <c r="B11" s="18">
        <f>-B6*Assumptions!B10</f>
        <v>-279786138.5325409</v>
      </c>
      <c r="C11" s="18">
        <f>-C6*Assumptions!B10</f>
        <v>-293072868.813076</v>
      </c>
      <c r="D11" s="18">
        <f>-D6*Assumptions!B10</f>
        <v>-306990571.0297964</v>
      </c>
      <c r="E11" s="18">
        <f>-E6*Assumptions!B10</f>
        <v>-321569209.3330873</v>
      </c>
      <c r="F11" s="18">
        <f>-F6*Assumptions!B10</f>
        <v>-336840170.8372676</v>
      </c>
    </row>
    <row r="12" spans="1:6" x14ac:dyDescent="0.25">
      <c r="A12" t="s">
        <v>48</v>
      </c>
      <c r="B12" s="18">
        <f>-(B6-Assumptions!B29)*Assumptions!B11</f>
        <v>-101946575.34497392</v>
      </c>
      <c r="C12" s="18">
        <f>-(C6-B6)*Assumptions!B11</f>
        <v>-106787903.99955761</v>
      </c>
      <c r="D12" s="18">
        <f>-(D6-C6)*Assumptions!B11</f>
        <v>-111859141.92831114</v>
      </c>
      <c r="E12" s="18">
        <f>-(E6-D6)*Assumptions!B11</f>
        <v>-117171207.26510313</v>
      </c>
      <c r="F12" s="18">
        <f>-(F6-E6)*Assumptions!B11</f>
        <v>-122735536.63374728</v>
      </c>
    </row>
    <row r="13" spans="1:6" x14ac:dyDescent="0.25">
      <c r="A13" s="19" t="s">
        <v>49</v>
      </c>
      <c r="B13" s="20">
        <f>B9+B10+B11+B12</f>
        <v>266930593.31522644</v>
      </c>
      <c r="C13" s="20">
        <f>C9+C10+C11+C12</f>
        <v>279606828.1551813</v>
      </c>
      <c r="D13" s="20">
        <f>D9+D10+D11+D12</f>
        <v>292885043.1867734</v>
      </c>
      <c r="E13" s="20">
        <f>E9+E10+E11+E12</f>
        <v>306793825.7749176</v>
      </c>
      <c r="F13" s="20">
        <f>F9+F10+F11+F12</f>
        <v>321363120.86646354</v>
      </c>
    </row>
    <row r="14" spans="1:6" x14ac:dyDescent="0.25">
      <c r="A14" t="s">
        <v>50</v>
      </c>
      <c r="B14" s="21">
        <f>1/(1+Assumptions!$B$26)^(1-0.5*Assumptions!$B$32)</f>
        <v>0.9532810362983055</v>
      </c>
      <c r="C14" s="21">
        <f>1/(1+Assumptions!$B$26)^(2-0.5*Assumptions!$B$32)</f>
        <v>0.8662891219163651</v>
      </c>
      <c r="D14" s="21">
        <f>1/(1+Assumptions!$B$26)^(3-0.5*Assumptions!$B$32)</f>
        <v>0.7872356778067598</v>
      </c>
      <c r="E14" s="21">
        <f>1/(1+Assumptions!$B$26)^(4-0.5*Assumptions!$B$32)</f>
        <v>0.7153962767544721</v>
      </c>
      <c r="F14" s="21">
        <f>1/(1+Assumptions!$B$26)^(5-0.5*Assumptions!$B$32)</f>
        <v>0.6501125993425684</v>
      </c>
    </row>
    <row r="15" spans="1:6" x14ac:dyDescent="0.25">
      <c r="A15" s="19" t="s">
        <v>51</v>
      </c>
      <c r="B15" s="20">
        <f>B13*B14</f>
        <v>254459872.6152606</v>
      </c>
      <c r="C15" s="20">
        <f>C13*C14</f>
        <v>242220353.644372</v>
      </c>
      <c r="D15" s="20">
        <f>D13*D14</f>
        <v>230569555.4926017</v>
      </c>
      <c r="E15" s="20">
        <f>E13*E14</f>
        <v>219479160.69063628</v>
      </c>
      <c r="F15" s="20">
        <f>F13*F14</f>
        <v>208922213.83933657</v>
      </c>
    </row>
    <row r="17" spans="1:2" x14ac:dyDescent="0.25">
      <c r="A17" s="22" t="s">
        <v>52</v>
      </c>
      <c r="B17" s="23">
        <f>SUM(B15:F15)</f>
        <v>1155651156.282207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321363120.86646354</v>
      </c>
    </row>
    <row r="5" spans="1:2" x14ac:dyDescent="0.25">
      <c r="A5" t="s">
        <v>56</v>
      </c>
      <c r="B5" s="18">
        <f>IF(Assumptions!$B$33=0,B4,B4-Forecast!F11-Forecast!F10-Forecast!F12)</f>
        <v>444098657.5002109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0.1301368303355807</v>
      </c>
    </row>
    <row r="7" spans="1:2" x14ac:dyDescent="0.25">
      <c r="A7" t="s">
        <v>58</v>
      </c>
      <c r="B7" s="18">
        <f>-MAX(Forecast!F9,0)*B6</f>
        <v>-57793591.64336411</v>
      </c>
    </row>
    <row r="8" spans="1:2" x14ac:dyDescent="0.25">
      <c r="A8" t="s">
        <v>59</v>
      </c>
      <c r="B8" s="18">
        <f>IF(OR(Assumptions!$B$33=0,Assumptions!B12&lt;=0),B5,MAX(B5+B7,0))</f>
        <v>386305065.85684675</v>
      </c>
    </row>
    <row r="9" spans="1:2" x14ac:dyDescent="0.25">
      <c r="A9" t="s">
        <v>60</v>
      </c>
      <c r="B9" s="18">
        <f>B8*(1+Assumptions!B12)/(Assumptions!B26-Assumptions!B12)</f>
        <v>5250169434.449801</v>
      </c>
    </row>
    <row r="10" spans="1:2" x14ac:dyDescent="0.25">
      <c r="A10" t="s">
        <v>61</v>
      </c>
      <c r="B10" s="18">
        <f>B9/(1+Assumptions!B26)^(5-0.5*Assumptions!B32)</f>
        <v>3413201298.0190625</v>
      </c>
    </row>
    <row r="11" spans="1:2" x14ac:dyDescent="0.25">
      <c r="A11" t="s">
        <v>62</v>
      </c>
      <c r="B11" s="18">
        <f>Forecast!B17+B10</f>
        <v>4568852454.30127</v>
      </c>
    </row>
    <row r="12" spans="1:2" x14ac:dyDescent="0.25">
      <c r="A12" t="s">
        <v>63</v>
      </c>
      <c r="B12" s="18">
        <f>-Assumptions!B30</f>
        <v>-498500000</v>
      </c>
    </row>
    <row r="13" spans="1:2" x14ac:dyDescent="0.25">
      <c r="A13" t="s">
        <v>64</v>
      </c>
      <c r="B13" s="18">
        <f>B11+B12</f>
        <v>4070352454.3012695</v>
      </c>
    </row>
    <row r="14" spans="1:2" x14ac:dyDescent="0.25">
      <c r="A14" s="19" t="s">
        <v>65</v>
      </c>
      <c r="B14" s="24">
        <f>B13/Assumptions!B31</f>
        <v>37.115067255671626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971266824.4089975</v>
      </c>
    </row>
    <row r="18" spans="1:2" x14ac:dyDescent="0.25">
      <c r="A18" t="s">
        <v>60</v>
      </c>
      <c r="B18" s="18">
        <f>B17*Assumptions!B13</f>
        <v>10156318264.414597</v>
      </c>
    </row>
    <row r="19" spans="1:2" x14ac:dyDescent="0.25">
      <c r="A19" t="s">
        <v>61</v>
      </c>
      <c r="B19" s="18">
        <f>B18/(1+Assumptions!B26)^(5-0.5*Assumptions!B32)</f>
        <v>6602750466.628976</v>
      </c>
    </row>
    <row r="20" spans="1:2" x14ac:dyDescent="0.25">
      <c r="A20" t="s">
        <v>62</v>
      </c>
      <c r="B20" s="18">
        <f>Forecast!B17+B19</f>
        <v>7758401622.911182</v>
      </c>
    </row>
    <row r="21" spans="1:2" x14ac:dyDescent="0.25">
      <c r="A21" t="s">
        <v>63</v>
      </c>
      <c r="B21" s="18">
        <f>-Assumptions!B30</f>
        <v>-498500000</v>
      </c>
    </row>
    <row r="22" spans="1:2" x14ac:dyDescent="0.25">
      <c r="A22" t="s">
        <v>64</v>
      </c>
      <c r="B22" s="18">
        <f>B20+B21</f>
        <v>7259901622.911182</v>
      </c>
    </row>
    <row r="23" spans="1:2" x14ac:dyDescent="0.25">
      <c r="A23" s="19" t="s">
        <v>65</v>
      </c>
      <c r="B23" s="25">
        <f>B22/Assumptions!B31</f>
        <v>66.1986253104863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65.22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37.115067255671626</v>
      </c>
    </row>
    <row r="29" spans="1:2" x14ac:dyDescent="0.25">
      <c r="A29" s="19" t="s">
        <v>73</v>
      </c>
      <c r="B29" s="12">
        <f>B28/B26-1</f>
        <v>-0.4309250650770986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0.080419</v>
      </c>
      <c r="B5" s="31">
        <v>47.366998051831295</v>
      </c>
      <c r="C5" s="31">
        <v>49.713256875907945</v>
      </c>
      <c r="D5" s="31">
        <v>52.46945514324819</v>
      </c>
      <c r="E5" s="31">
        <v>55.75755266362523</v>
      </c>
      <c r="F5" s="31">
        <v>59.753213559885275</v>
      </c>
    </row>
    <row r="6" spans="1:6" x14ac:dyDescent="0.25">
      <c r="A6" s="30">
        <v>0.090419</v>
      </c>
      <c r="B6" s="31">
        <v>40.25999344603165</v>
      </c>
      <c r="C6" s="31">
        <v>41.821926739653385</v>
      </c>
      <c r="D6" s="31">
        <v>43.611705150909465</v>
      </c>
      <c r="E6" s="31">
        <v>45.68589493817089</v>
      </c>
      <c r="F6" s="31">
        <v>48.12147639050963</v>
      </c>
    </row>
    <row r="7" spans="1:6" x14ac:dyDescent="0.25">
      <c r="A7" s="30">
        <v>0.100419</v>
      </c>
      <c r="B7" s="31">
        <v>34.831822597856615</v>
      </c>
      <c r="C7" s="31">
        <v>35.906733708387044</v>
      </c>
      <c r="D7" s="32">
        <v>37.11508483227897</v>
      </c>
      <c r="E7" s="31">
        <v>38.48530011927069</v>
      </c>
      <c r="F7" s="31">
        <v>40.05449359505045</v>
      </c>
    </row>
    <row r="8" spans="1:6" x14ac:dyDescent="0.25">
      <c r="A8" s="30">
        <v>0.110419</v>
      </c>
      <c r="B8" s="31">
        <v>30.553892918156283</v>
      </c>
      <c r="C8" s="31">
        <v>31.31131850480094</v>
      </c>
      <c r="D8" s="31">
        <v>32.14971425769953</v>
      </c>
      <c r="E8" s="31">
        <v>33.08418298208227</v>
      </c>
      <c r="F8" s="31">
        <v>34.133832523084514</v>
      </c>
    </row>
    <row r="9" spans="1:6" x14ac:dyDescent="0.25">
      <c r="A9" s="30">
        <v>0.120419</v>
      </c>
      <c r="B9" s="31">
        <v>27.09822494268018</v>
      </c>
      <c r="C9" s="31">
        <v>27.640811105112416</v>
      </c>
      <c r="D9" s="31">
        <v>28.23363892755421</v>
      </c>
      <c r="E9" s="31">
        <v>28.885043216850857</v>
      </c>
      <c r="F9" s="31">
        <v>29.60531029106768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11064000000</v>
      </c>
      <c r="C5" s="18">
        <v>10554800000</v>
      </c>
      <c r="D5" s="18">
        <v>9592400000</v>
      </c>
      <c r="E5" s="18">
        <v>9626400000</v>
      </c>
      <c r="F5" s="8" t="s">
        <v>84</v>
      </c>
    </row>
    <row r="6" spans="1:6" x14ac:dyDescent="0.25">
      <c r="A6" t="s">
        <v>44</v>
      </c>
      <c r="B6" s="18">
        <v>455800000</v>
      </c>
      <c r="C6" s="18">
        <v>437600000</v>
      </c>
      <c r="D6" s="18">
        <v>410200000</v>
      </c>
      <c r="E6" s="18">
        <v>543500000</v>
      </c>
      <c r="F6" s="8" t="s">
        <v>85</v>
      </c>
    </row>
    <row r="7" spans="1:6" x14ac:dyDescent="0.25">
      <c r="A7" t="s">
        <v>86</v>
      </c>
      <c r="B7" s="18">
        <v>273800000</v>
      </c>
      <c r="C7" s="18">
        <v>255500000</v>
      </c>
      <c r="D7" s="18">
        <v>235200000</v>
      </c>
      <c r="E7" s="18">
        <v>222300000</v>
      </c>
      <c r="F7" s="8" t="s">
        <v>87</v>
      </c>
    </row>
    <row r="8" spans="1:6" x14ac:dyDescent="0.25">
      <c r="A8" t="s">
        <v>88</v>
      </c>
      <c r="B8" s="18">
        <v>87500000</v>
      </c>
      <c r="C8" s="18">
        <v>82300000</v>
      </c>
      <c r="D8" s="18">
        <v>74500000</v>
      </c>
      <c r="E8" s="18">
        <v>72000000</v>
      </c>
      <c r="F8" s="8" t="s">
        <v>89</v>
      </c>
    </row>
    <row r="9" spans="1:6" x14ac:dyDescent="0.25">
      <c r="A9" t="s">
        <v>90</v>
      </c>
      <c r="B9" s="18">
        <v>98800000</v>
      </c>
      <c r="C9" s="18">
        <v>98000000</v>
      </c>
      <c r="D9" s="18">
        <v>-10600000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705000000</v>
      </c>
      <c r="C10" s="18">
        <v>714400000</v>
      </c>
      <c r="D10" s="18">
        <v>657400000</v>
      </c>
      <c r="E10" s="18">
        <v>655100000</v>
      </c>
      <c r="F10" s="8" t="s">
        <v>93</v>
      </c>
    </row>
    <row r="11" spans="1:6" x14ac:dyDescent="0.25">
      <c r="A11" t="s">
        <v>94</v>
      </c>
      <c r="B11" s="18">
        <v>206500000</v>
      </c>
      <c r="C11" s="18">
        <v>284100000</v>
      </c>
      <c r="D11" s="18">
        <v>317700000</v>
      </c>
      <c r="E11" s="18">
        <v>177300000</v>
      </c>
      <c r="F11" s="8" t="s">
        <v>95</v>
      </c>
    </row>
    <row r="12" spans="1:6" x14ac:dyDescent="0.25">
      <c r="A12" t="s">
        <v>32</v>
      </c>
      <c r="B12" s="34">
        <v>109668465</v>
      </c>
      <c r="C12" s="34">
        <v>109737286</v>
      </c>
      <c r="D12" s="34">
        <v>109790577</v>
      </c>
      <c r="E12" s="34">
        <v>109769622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2026-09-19T01:04:22Z</dcterms:modified>
</cp:coreProperties>
</file>