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<sst xmlns="http://schemas.openxmlformats.org/spreadsheetml/2006/main" count="120" uniqueCount="107">
  <si>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J.B. Hunt Transport Services, Inc. (JBHT)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</si>
  <si>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</si>
  <si>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</si>
  <si>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</si>
  <si>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</si>
  <si>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</si>
  <si>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</si>
  <si>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</si>
  <si>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</si>
  <si>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</si>
  <si>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</si>
  <si>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</si>
  <si>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</si>
  <si>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</si>
  <si>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</si>
  <si>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</si>
  <si>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</si>
  <si>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</si>
  <si>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</si>
  <si>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</si>
  <si>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</si>
  <si>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</si>
  <si>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</si>
  <si>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</si>
  <si>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11.5x interest cover.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</si>
  <si>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</si>
  <si>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</si>
  <si>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</si>
  <si>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</si>
  <si>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</si>
  <si>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</si>
  <si>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</si>
  <si>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</si>
  <si>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</si>
  <si>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</si>
  <si>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</si>
  <si>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</si>
  <si>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</si>
  <si>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</si>
  <si>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</si>
  <si>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</si>
  <si>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</si>
  <si>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</si>
  <si>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</si>
  <si>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</si>
  <si>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</si>
  <si>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</si>
  <si>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</si>
  <si>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</si>
  <si>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</si>
  <si>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</si>
  <si>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</si>
  <si>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</si>
  <si>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</si>
  <si>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</si>
  <si>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</si>
  <si>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</si>
  <si>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</si>
  <si>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</si>
  <si>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</si>
  <si>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</si>
  <si>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</si>
  <si>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</si>
  <si>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</si>
  <si>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</si>
  <si>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</si>
  <si>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</si>
  <si>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</si>
  <si>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</si>
  <si>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</si>
  <si>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</si>
  <si>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</si>
  <si>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</si>
  <si>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</si>
  <si>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</si>
  <si>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</si>
  <si>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</si>
  <si>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</si>
  <si>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</si>
  <si>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</si>
  <si>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</si>
  <si>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</si>
  <si>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</si>
  <si>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</si>
  <si>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</si>
  <si>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</si>
  <si>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</si>
  <si>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</si>
  <si>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</si>
  <si>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</si>
  <si>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</si>
  <si>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</si>
  <si>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</si>
  <si>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</si>
  <si>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</si>
  <si>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</si>
  <si>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</si>
  <si>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</si>
  <si>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</si>
  <si>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</si>
  <si>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</si>
  <si>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</si>
  <si>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</si>
  <si>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</si>
  <si>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</si>
  <si>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9.5% of revenue against depreciation of 5.6%.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</si>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</sst>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0.16326108066807699</v>
      </c>
    </row>
    <row r="7" spans="1:2" x14ac:dyDescent="0.25">
      <c r="A7" t="s">
        <v>4</v>
      </c>
      <c r="B7" s="5">
        <v>0.0770405804424502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0.055891889645657646</v>
      </c>
    </row>
    <row r="10" spans="1:3" x14ac:dyDescent="0.25">
      <c r="A10" t="s">
        <v>7</v>
      </c>
      <c r="B10" s="5">
        <v>0.09541618967567858</v>
      </c>
      <c r="C10" s="6" t="s">
        <v>8</v>
      </c>
    </row>
    <row r="11" spans="1:2" x14ac:dyDescent="0.25">
      <c r="A11" t="s">
        <v>9</v>
      </c>
      <c r="B11" s="5">
        <v>0.05057477230579169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14.059670774641202</v>
      </c>
    </row>
    <row r="14" spans="1:3" x14ac:dyDescent="0.25">
      <c r="A14" t="s">
        <v>12</v>
      </c>
      <c r="B14" s="5">
        <v>0.13697864990338154</v>
      </c>
      <c r="C14" s="6" t="s">
        <v>13</v>
      </c>
    </row>
    <row r="15" spans="1:3" x14ac:dyDescent="0.25">
      <c r="A15" t="s">
        <v>14</v>
      </c>
      <c r="B15" s="5">
        <v>0.055891889645657646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1.20837</v>
      </c>
      <c r="C19" s="6" t="s">
        <v>21</v>
      </c>
    </row>
    <row r="20" spans="1:2" x14ac:dyDescent="0.25">
      <c r="A20" t="s">
        <v>22</v>
      </c>
      <c r="B20" s="9">
        <f>B17+B19*B18</f>
        <v>0.100054051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20762714112</v>
      </c>
    </row>
    <row r="23" spans="1:2" x14ac:dyDescent="0.25">
      <c r="A23" t="s">
        <v>26</v>
      </c>
      <c r="B23" s="10">
        <v>1466797000</v>
      </c>
    </row>
    <row r="24" spans="1:2" x14ac:dyDescent="0.25">
      <c r="A24" t="s">
        <v>27</v>
      </c>
      <c r="B24" s="9">
        <f>B22/(B22+B23)</f>
        <v>0.934015777827512</v>
      </c>
    </row>
    <row r="25" spans="1:2" x14ac:dyDescent="0.25">
      <c r="A25" t="s">
        <v>28</v>
      </c>
      <c r="B25" s="9">
        <f>1-B24</f>
        <v>0.065984222172488</v>
      </c>
    </row>
    <row r="26" spans="1:2" x14ac:dyDescent="0.25">
      <c r="A26" t="s">
        <v>29</v>
      </c>
      <c r="B26" s="11">
        <f>B24*B20+B25*B21*(1-B8)</f>
        <v>0.09621169399978965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11999096000</v>
      </c>
      <c r="C29" s="6" t="s">
        <v>32</v>
      </c>
    </row>
    <row r="30" spans="1:2" x14ac:dyDescent="0.25">
      <c r="A30" t="s">
        <v>33</v>
      </c>
      <c r="B30" s="10">
        <v>1449513000</v>
      </c>
    </row>
    <row r="31" spans="1:2" x14ac:dyDescent="0.25">
      <c r="A31" t="s">
        <v>34</v>
      </c>
      <c r="B31" s="12">
        <v>97688000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0.16326108066807699</v>
      </c>
      <c r="C5" s="5">
        <v>0.10810224263071322</v>
      </c>
      <c r="D5" s="5">
        <v>0.09771446230187407</v>
      </c>
      <c r="E5" s="5">
        <v>0.08732668197303492</v>
      </c>
      <c r="F5" s="5">
        <v>0.07693890164419576</v>
      </c>
      <c r="G5" s="5">
        <v>0.0665511213153566</v>
      </c>
      <c r="H5" s="5">
        <v>0.05616334098651746</v>
      </c>
      <c r="I5" s="5">
        <v>0.0457755606576783</v>
      </c>
      <c r="J5" s="5">
        <v>0.035387780328839144</v>
      </c>
      <c r="K5" s="5">
        <v>0.024999999999999994</v>
      </c>
    </row>
    <row r="6" spans="1:11" x14ac:dyDescent="0.25">
      <c r="A6" t="s">
        <v>50</v>
      </c>
      <c r="B6" s="18">
        <f>Assumptions!B29*(1+B5)</f>
        <v>13958081380</v>
      </c>
      <c r="C6" s="18">
        <f>B6*(1+C5)</f>
        <v>15466981280</v>
      </c>
      <c r="D6" s="18">
        <f>C6*(1+D5)</f>
        <v>16978329039.208351</v>
      </c>
      <c r="E6" s="18">
        <f>D6*(1+E5)</f>
        <v>18460990179.64884</v>
      </c>
      <c r="F6" s="18">
        <f>E6*(1+F5)</f>
        <v>19881358487.335308</v>
      </c>
      <c r="G6" s="18">
        <f>F6*(1+G5)</f>
        <v>21204485187.940056</v>
      </c>
      <c r="H6" s="18">
        <f>G6*(1+H5)</f>
        <v>22395399919.993893</v>
      </c>
      <c r="I6" s="18">
        <f>H6*(1+I5)</f>
        <v>23420561907.48454</v>
      </c>
      <c r="J6" s="18">
        <f>I6*(1+J5)</f>
        <v>24249363607.44458</v>
      </c>
      <c r="K6" s="18">
        <f>J6*(1+K5)</f>
        <v>24855597697.63069</v>
      </c>
    </row>
    <row r="7" spans="1:11" x14ac:dyDescent="0.25">
      <c r="A7" t="s">
        <v>4</v>
      </c>
      <c r="B7" s="9">
        <f>Assumptions!B7</f>
        <v>0.0770405804424502</v>
      </c>
      <c r="C7" s="9">
        <f>Assumptions!B7</f>
        <v>0.0770405804424502</v>
      </c>
      <c r="D7" s="9">
        <f>Assumptions!B7</f>
        <v>0.0770405804424502</v>
      </c>
      <c r="E7" s="9">
        <f>Assumptions!B7</f>
        <v>0.0770405804424502</v>
      </c>
      <c r="F7" s="9">
        <f>Assumptions!B7</f>
        <v>0.0770405804424502</v>
      </c>
      <c r="G7" s="9">
        <f>Assumptions!B7</f>
        <v>0.0770405804424502</v>
      </c>
      <c r="H7" s="9">
        <f>Assumptions!B7</f>
        <v>0.0770405804424502</v>
      </c>
      <c r="I7" s="9">
        <f>Assumptions!B7</f>
        <v>0.0770405804424502</v>
      </c>
      <c r="J7" s="9">
        <f>Assumptions!B7</f>
        <v>0.0770405804424502</v>
      </c>
      <c r="K7" s="9">
        <f>Assumptions!B7</f>
        <v>0.0770405804424502</v>
      </c>
    </row>
    <row r="8" spans="1:11" x14ac:dyDescent="0.25">
      <c r="A8" t="s">
        <v>51</v>
      </c>
      <c r="B8" s="18">
        <f>B6*B7</f>
        <v>1075338691.3781562</v>
      </c>
      <c r="C8" s="18">
        <f>C6*C7</f>
        <v>1191585215.5037115</v>
      </c>
      <c r="D8" s="18">
        <f>D6*D7</f>
        <v>1308020324.1235192</v>
      </c>
      <c r="E8" s="18">
        <f>E6*E7</f>
        <v>1422245398.9825199</v>
      </c>
      <c r="F8" s="18">
        <f>F6*F7</f>
        <v>1531671397.8487458</v>
      </c>
      <c r="G8" s="18">
        <f>G6*G7</f>
        <v>1633605846.8622396</v>
      </c>
      <c r="H8" s="18">
        <f>H6*H7</f>
        <v>1725354609.0771322</v>
      </c>
      <c r="I8" s="18">
        <f>I6*I7</f>
        <v>1804333683.6409476</v>
      </c>
      <c r="J8" s="18">
        <f>J6*J7</f>
        <v>1868185047.6775584</v>
      </c>
      <c r="K8" s="18">
        <f>K6*K7</f>
        <v>1914889673.8694973</v>
      </c>
    </row>
    <row r="9" spans="1:11" x14ac:dyDescent="0.25">
      <c r="A9" t="s">
        <v>52</v>
      </c>
      <c r="B9" s="18">
        <f>B8*(1-Assumptions!B8)</f>
        <v>849517566.1887435</v>
      </c>
      <c r="C9" s="18">
        <f>C8*(1-Assumptions!B8)</f>
        <v>941352320.2479321</v>
      </c>
      <c r="D9" s="18">
        <f>D8*(1-Assumptions!B8)</f>
        <v>1033336056.0575802</v>
      </c>
      <c r="E9" s="18">
        <f>E8*(1-Assumptions!B8)</f>
        <v>1123573865.1961908</v>
      </c>
      <c r="F9" s="18">
        <f>F8*(1-Assumptions!B8)</f>
        <v>1210020404.3005092</v>
      </c>
      <c r="G9" s="18">
        <f>G8*(1-Assumptions!B8)</f>
        <v>1290548619.0211694</v>
      </c>
      <c r="H9" s="18">
        <f>H8*(1-Assumptions!B8)</f>
        <v>1363030141.1709344</v>
      </c>
      <c r="I9" s="18">
        <f>I8*(1-Assumptions!B8)</f>
        <v>1425423610.0763485</v>
      </c>
      <c r="J9" s="18">
        <f>J8*(1-Assumptions!B8)</f>
        <v>1475866187.6652713</v>
      </c>
      <c r="K9" s="18">
        <f>K8*(1-Assumptions!B8)</f>
        <v>1512762842.3569028</v>
      </c>
    </row>
    <row r="10" spans="1:11" x14ac:dyDescent="0.25">
      <c r="A10" t="s">
        <v>53</v>
      </c>
      <c r="B10" s="18">
        <f>B6*Assumptions!B9</f>
        <v>780143544.1560688</v>
      </c>
      <c r="C10" s="18">
        <f>C6*Assumptions!B9</f>
        <v>864478810.8532126</v>
      </c>
      <c r="D10" s="18">
        <f>D6*Assumptions!B9</f>
        <v>948950893.0270978</v>
      </c>
      <c r="E10" s="18">
        <f>E6*Assumptions!B9</f>
        <v>1031819625.8705026</v>
      </c>
      <c r="F10" s="18">
        <f>F6*Assumptions!B9</f>
        <v>1111206694.579904</v>
      </c>
      <c r="G10" s="18">
        <f>G6*Assumptions!B9</f>
        <v>1185158746.1173277</v>
      </c>
      <c r="H10" s="18">
        <f>H6*Assumptions!B9</f>
        <v>1251721220.8986688</v>
      </c>
      <c r="I10" s="18">
        <f>I6*Assumptions!B9</f>
        <v>1309019461.572419</v>
      </c>
      <c r="J10" s="18">
        <f>J6*Assumptions!B9</f>
        <v>1355342754.724719</v>
      </c>
      <c r="K10" s="18">
        <f>K6*Assumptions!B9</f>
        <v>1389226323.5928369</v>
      </c>
    </row>
    <row r="11" spans="1:11" x14ac:dyDescent="0.25">
      <c r="A11" t="s">
        <v>54</v>
      </c>
      <c r="B11" s="18">
        <f>-B6*B19</f>
        <v>-1331826940.4626374</v>
      </c>
      <c r="C11" s="18">
        <f>-C6*C19</f>
        <v>-1426965395.7607799</v>
      </c>
      <c r="D11" s="18">
        <f>-D6*D19</f>
        <v>-1512793640.2806652</v>
      </c>
      <c r="E11" s="18">
        <f>-E6*E19</f>
        <v>-1586612663.80332</v>
      </c>
      <c r="F11" s="18">
        <f>-F6*F19</f>
        <v>-1645912041.8422427</v>
      </c>
      <c r="G11" s="18">
        <f>-G6*G19</f>
        <v>-1688498872.099714</v>
      </c>
      <c r="H11" s="18">
        <f>-H6*H19</f>
        <v>-1712619986.6847975</v>
      </c>
      <c r="I11" s="18">
        <f>-I6*I19</f>
        <v>-1717068685.0177267</v>
      </c>
      <c r="J11" s="18">
        <f>-J6*J19</f>
        <v>-1701267656.8769817</v>
      </c>
      <c r="K11" s="18">
        <f>-K6*K19</f>
        <v>-1665320963.7838333</v>
      </c>
    </row>
    <row r="12" spans="1:11" x14ac:dyDescent="0.25">
      <c r="A12" t="s">
        <v>55</v>
      </c>
      <c r="B12" s="18">
        <f>-(B6-Assumptions!B29)*Assumptions!B11</f>
        <v>-99075239.5438748</v>
      </c>
      <c r="C12" s="18">
        <f>-(C6-B6)*Assumptions!B11</f>
        <v>-76312268.87473185</v>
      </c>
      <c r="D12" s="18">
        <f>-(D6-C6)*Assumptions!B11</f>
        <v>-76436068.79683085</v>
      </c>
      <c r="E12" s="18">
        <f>-(E6-D6)*Assumptions!B11</f>
        <v>-74985249.58442324</v>
      </c>
      <c r="F12" s="18">
        <f>-(F6-E6)*Assumptions!B11</f>
        <v>-71834803.7516057</v>
      </c>
      <c r="G12" s="18">
        <f>-(G6-F6)*Assumptions!B11</f>
        <v>-66916831.61479853</v>
      </c>
      <c r="H12" s="18">
        <f>-(H6-G6)*Assumptions!B11</f>
        <v>-60230241.409235716</v>
      </c>
      <c r="I12" s="18">
        <f>-(I6-H6)*Assumptions!B11</f>
        <v>-51847334.093892306</v>
      </c>
      <c r="J12" s="18">
        <f>-(J6-I6)*Assumptions!B11</f>
        <v>-41916457.26213215</v>
      </c>
      <c r="K12" s="18">
        <f>-(K6-J6)*Assumptions!B11</f>
        <v>-30660151.07517137</v>
      </c>
    </row>
    <row r="13" spans="1:11" x14ac:dyDescent="0.25">
      <c r="A13" s="19" t="s">
        <v>56</v>
      </c>
      <c r="B13" s="20">
        <f>B9+B10+B11+B12</f>
        <v>198758930.33830017</v>
      </c>
      <c r="C13" s="20">
        <f>C9+C10+C11+C12</f>
        <v>302553466.4656331</v>
      </c>
      <c r="D13" s="20">
        <f>D9+D10+D11+D12</f>
        <v>393057240.0071822</v>
      </c>
      <c r="E13" s="20">
        <f>E9+E10+E11+E12</f>
        <v>493795577.67895013</v>
      </c>
      <c r="F13" s="20">
        <f>F9+F10+F11+F12</f>
        <v>603480253.2865646</v>
      </c>
      <c r="G13" s="20">
        <f>G9+G10+G11+G12</f>
        <v>720291661.4239848</v>
      </c>
      <c r="H13" s="20">
        <f>H9+H10+H11+H12</f>
        <v>841901133.9755697</v>
      </c>
      <c r="I13" s="20">
        <f>I9+I10+I11+I12</f>
        <v>965527052.5371485</v>
      </c>
      <c r="J13" s="20">
        <f>J9+J10+J11+J12</f>
        <v>1088024828.2508764</v>
      </c>
      <c r="K13" s="20">
        <f>K9+K10+K11+K12</f>
        <v>1206008051.0907347</v>
      </c>
    </row>
    <row r="14" spans="1:11" x14ac:dyDescent="0.25">
      <c r="A14" t="s">
        <v>57</v>
      </c>
      <c r="B14" s="21">
        <f>1/(1+Assumptions!$B$26)^(1-0.5*Assumptions!$B$32)</f>
        <v>0.9551086640134504</v>
      </c>
      <c r="C14" s="21">
        <f>1/(1+Assumptions!$B$26)^(2-0.5*Assumptions!$B$32)</f>
        <v>0.8712812217214256</v>
      </c>
      <c r="D14" s="21">
        <f>1/(1+Assumptions!$B$26)^(3-0.5*Assumptions!$B$32)</f>
        <v>0.7948110994349535</v>
      </c>
      <c r="E14" s="21">
        <f>1/(1+Assumptions!$B$26)^(4-0.5*Assumptions!$B$32)</f>
        <v>0.725052564012427</v>
      </c>
      <c r="F14" s="21">
        <f>1/(1+Assumptions!$B$26)^(5-0.5*Assumptions!$B$32)</f>
        <v>0.6614165566569535</v>
      </c>
      <c r="G14" s="21">
        <f>1/(1+Assumptions!$B$26)^(6-0.5*Assumptions!$B$32)</f>
        <v>0.6033657187542103</v>
      </c>
      <c r="H14" s="21">
        <f>1/(1+Assumptions!$B$26)^(7-0.5*Assumptions!$B$32)</f>
        <v>0.5504098542797757</v>
      </c>
      <c r="I14" s="21">
        <f>1/(1+Assumptions!$B$26)^(8-0.5*Assumptions!$B$32)</f>
        <v>0.5021017904593539</v>
      </c>
      <c r="J14" s="21">
        <f>1/(1+Assumptions!$B$26)^(9-0.5*Assumptions!$B$32)</f>
        <v>0.4580336017282536</v>
      </c>
      <c r="K14" s="21">
        <f>1/(1+Assumptions!$B$26)^(10-0.5*Assumptions!$B$32)</f>
        <v>0.41783316510427726</v>
      </c>
    </row>
    <row r="15" spans="1:11" x14ac:dyDescent="0.25">
      <c r="A15" s="19" t="s">
        <v>58</v>
      </c>
      <c r="B15" s="20">
        <f>B13*B14</f>
        <v>189836376.41615632</v>
      </c>
      <c r="C15" s="20">
        <f>C13*C14</f>
        <v>263609153.89822918</v>
      </c>
      <c r="D15" s="20">
        <f>D13*D14</f>
        <v>312406257.07097685</v>
      </c>
      <c r="E15" s="20">
        <f>E13*E14</f>
        <v>358027749.69412035</v>
      </c>
      <c r="F15" s="20">
        <f>F13*F14</f>
        <v>399151831.1392657</v>
      </c>
      <c r="G15" s="20">
        <f>G13*G14</f>
        <v>434599296.0077469</v>
      </c>
      <c r="H15" s="20">
        <f>H13*H14</f>
        <v>463390680.4694713</v>
      </c>
      <c r="I15" s="20">
        <f>I13*I14</f>
        <v>484792861.8158449</v>
      </c>
      <c r="J15" s="20">
        <f>J13*J14</f>
        <v>498351930.8535134</v>
      </c>
      <c r="K15" s="20">
        <f>K13*K14</f>
        <v>503910161.1284826</v>
      </c>
    </row>
    <row r="17" spans="1:2" x14ac:dyDescent="0.25">
      <c r="A17" s="22" t="s">
        <v>59</v>
      </c>
      <c r="B17" s="23">
        <f>SUM(B15:K15)</f>
        <v>3908076298.493808</v>
      </c>
    </row>
    <row r="19" spans="1:11" x14ac:dyDescent="0.25">
      <c r="A19" t="s">
        <v>7</v>
      </c>
      <c r="B19" s="9">
        <f>Assumptions!$B$10+($B$20-Assumptions!$B$10)*0/9</f>
        <v>0.09541618967567858</v>
      </c>
      <c r="C19" s="9">
        <f>Assumptions!$B$10+($B$20-Assumptions!$B$10)*1/9</f>
        <v>0.09225881701983801</v>
      </c>
      <c r="D19" s="9">
        <f>Assumptions!$B$10+($B$20-Assumptions!$B$10)*2/9</f>
        <v>0.08910144436399745</v>
      </c>
      <c r="E19" s="9">
        <f>Assumptions!$B$10+($B$20-Assumptions!$B$10)*3/9</f>
        <v>0.08594407170815688</v>
      </c>
      <c r="F19" s="9">
        <f>Assumptions!$B$10+($B$20-Assumptions!$B$10)*4/9</f>
        <v>0.08278669905231631</v>
      </c>
      <c r="G19" s="9">
        <f>Assumptions!$B$10+($B$20-Assumptions!$B$10)*5/9</f>
        <v>0.07962932639647574</v>
      </c>
      <c r="H19" s="9">
        <f>Assumptions!$B$10+($B$20-Assumptions!$B$10)*6/9</f>
        <v>0.07647195374063517</v>
      </c>
      <c r="I19" s="9">
        <f>Assumptions!$B$10+($B$20-Assumptions!$B$10)*7/9</f>
        <v>0.07331458108479459</v>
      </c>
      <c r="J19" s="9">
        <f>Assumptions!$B$10+($B$20-Assumptions!$B$10)*8/9</f>
        <v>0.07015720842895402</v>
      </c>
      <c r="K19" s="9">
        <f>Assumptions!$B$10+($B$20-Assumptions!$B$10)*9/9</f>
        <v>0.06699983577311346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0.06699983577311346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1206008051.0907347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1512762842.3569028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0.18251019423562617</v>
      </c>
    </row>
    <row r="7" spans="1:2" x14ac:dyDescent="0.25">
      <c r="A7" t="s">
        <v>66</v>
      </c>
      <c r="B7" s="18">
        <f>-MAX(B5,0)*B6</f>
        <v>-276094640.1909963</v>
      </c>
    </row>
    <row r="8" spans="1:2" x14ac:dyDescent="0.25">
      <c r="A8" t="s">
        <v>67</v>
      </c>
      <c r="B8" s="18">
        <f>IF(OR(Assumptions!$B$33=0,Assumptions!B12&lt;=0),B5,MAX(B5+B7,0))</f>
        <v>1236668202.1659064</v>
      </c>
    </row>
    <row r="9" spans="1:2" x14ac:dyDescent="0.25">
      <c r="A9" t="s">
        <v>68</v>
      </c>
      <c r="B9" s="18">
        <f>B8*(1+Assumptions!B12)/(Assumptions!B26-Assumptions!B12)</f>
        <v>17800235270.681778</v>
      </c>
    </row>
    <row r="10" spans="1:2" x14ac:dyDescent="0.25">
      <c r="A10" t="s">
        <v>69</v>
      </c>
      <c r="B10" s="18">
        <f>B9/(1+Assumptions!B26)^(10-0.5*Assumptions!B32)</f>
        <v>7437528642.749759</v>
      </c>
    </row>
    <row r="11" spans="1:2" x14ac:dyDescent="0.25">
      <c r="A11" t="s">
        <v>70</v>
      </c>
      <c r="B11" s="18">
        <f>Forecast!B17+B10</f>
        <v>11345604941.243567</v>
      </c>
    </row>
    <row r="12" spans="1:2" x14ac:dyDescent="0.25">
      <c r="A12" t="s">
        <v>71</v>
      </c>
      <c r="B12" s="18">
        <f>-Assumptions!B30</f>
        <v>-1449513000</v>
      </c>
    </row>
    <row r="13" spans="1:2" x14ac:dyDescent="0.25">
      <c r="A13" t="s">
        <v>72</v>
      </c>
      <c r="B13" s="18">
        <f>B11+B12</f>
        <v>9896091941.243567</v>
      </c>
    </row>
    <row r="14" spans="1:2" x14ac:dyDescent="0.25">
      <c r="A14" s="19" t="s">
        <v>73</v>
      </c>
      <c r="B14" s="24">
        <f>B13/Assumptions!B31</f>
        <v>101.3030458320732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3304115997.462334</v>
      </c>
    </row>
    <row r="18" spans="1:2" x14ac:dyDescent="0.25">
      <c r="A18" t="s">
        <v>68</v>
      </c>
      <c r="B18" s="18">
        <f>B17*Assumptions!B13</f>
        <v>46454783125.54564</v>
      </c>
    </row>
    <row r="19" spans="1:2" x14ac:dyDescent="0.25">
      <c r="A19" t="s">
        <v>69</v>
      </c>
      <c r="B19" s="18">
        <f>B18/(1+Assumptions!B26)^(10-0.5*Assumptions!B32)</f>
        <v>19410349067.579506</v>
      </c>
    </row>
    <row r="20" spans="1:2" x14ac:dyDescent="0.25">
      <c r="A20" t="s">
        <v>70</v>
      </c>
      <c r="B20" s="18">
        <f>Forecast!B17+B19</f>
        <v>23318425366.073315</v>
      </c>
    </row>
    <row r="21" spans="1:2" x14ac:dyDescent="0.25">
      <c r="A21" t="s">
        <v>71</v>
      </c>
      <c r="B21" s="18">
        <f>-Assumptions!B30</f>
        <v>-1449513000</v>
      </c>
    </row>
    <row r="22" spans="1:2" x14ac:dyDescent="0.25">
      <c r="A22" t="s">
        <v>72</v>
      </c>
      <c r="B22" s="18">
        <f>B20+B21</f>
        <v>21868912366.073315</v>
      </c>
    </row>
    <row r="23" spans="1:2" x14ac:dyDescent="0.25">
      <c r="A23" s="19" t="s">
        <v>73</v>
      </c>
      <c r="B23" s="25">
        <f>B22/Assumptions!B31</f>
        <v>223.86487967890955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221.08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101.3030458320732</v>
      </c>
    </row>
    <row r="29" spans="1:2" x14ac:dyDescent="0.25">
      <c r="A29" s="19" t="s">
        <v>81</v>
      </c>
      <c r="B29" s="11">
        <f>B28/B26-1</f>
        <v>-0.5417810483441596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0.076212</v>
      </c>
      <c r="B5" s="31">
        <v>146.53844325431962</v>
      </c>
      <c r="C5" s="31">
        <v>150.6355830850559</v>
      </c>
      <c r="D5" s="31">
        <v>155.7768254419606</v>
      </c>
      <c r="E5" s="31">
        <v>162.30107662410177</v>
      </c>
      <c r="F5" s="31">
        <v>170.7117126476529</v>
      </c>
    </row>
    <row r="6" spans="1:6" x14ac:dyDescent="0.25">
      <c r="A6" s="30">
        <v>0.086212</v>
      </c>
      <c r="B6" s="31">
        <v>119.80945167496414</v>
      </c>
      <c r="C6" s="31">
        <v>121.64143004294276</v>
      </c>
      <c r="D6" s="31">
        <v>123.96570262331717</v>
      </c>
      <c r="E6" s="31">
        <v>126.91363661856978</v>
      </c>
      <c r="F6" s="31">
        <v>130.66790252044404</v>
      </c>
    </row>
    <row r="7" spans="1:6" x14ac:dyDescent="0.25">
      <c r="A7" s="30">
        <v>0.096212</v>
      </c>
      <c r="B7" s="31">
        <v>99.88772104415244</v>
      </c>
      <c r="C7" s="31">
        <v>100.4753518698215</v>
      </c>
      <c r="D7" s="32">
        <v>101.30245281887656</v>
      </c>
      <c r="E7" s="31">
        <v>102.42327465931739</v>
      </c>
      <c r="F7" s="31">
        <v>103.90979369269888</v>
      </c>
    </row>
    <row r="8" spans="1:6" x14ac:dyDescent="0.25">
      <c r="A8" s="30">
        <v>0.106212</v>
      </c>
      <c r="B8" s="31">
        <v>84.51918594818332</v>
      </c>
      <c r="C8" s="31">
        <v>84.39868741986892</v>
      </c>
      <c r="D8" s="31">
        <v>84.39365670794943</v>
      </c>
      <c r="E8" s="31">
        <v>84.52682011859625</v>
      </c>
      <c r="F8" s="31">
        <v>84.82728667610982</v>
      </c>
    </row>
    <row r="9" spans="1:6" x14ac:dyDescent="0.25">
      <c r="A9" s="30">
        <v>0.116212</v>
      </c>
      <c r="B9" s="31">
        <v>72.3417993478469</v>
      </c>
      <c r="C9" s="31">
        <v>71.81251550303148</v>
      </c>
      <c r="D9" s="31">
        <v>71.33514190885414</v>
      </c>
      <c r="E9" s="31">
        <v>70.91871041424054</v>
      </c>
      <c r="F9" s="31">
        <v>70.57447713273855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11999096000</v>
      </c>
      <c r="C5" s="18">
        <v>12087204000</v>
      </c>
      <c r="D5" s="18">
        <v>12829665000</v>
      </c>
      <c r="E5" s="18">
        <v>14813999000</v>
      </c>
      <c r="F5" s="6" t="s">
        <v>91</v>
      </c>
    </row>
    <row r="6" spans="1:6" x14ac:dyDescent="0.25">
      <c r="A6" t="s">
        <v>51</v>
      </c>
      <c r="B6" s="18">
        <v>865069000</v>
      </c>
      <c r="C6" s="18">
        <v>831225000</v>
      </c>
      <c r="D6" s="18">
        <v>993196000</v>
      </c>
      <c r="E6" s="18">
        <v>1331553000</v>
      </c>
      <c r="F6" s="6" t="s">
        <v>92</v>
      </c>
    </row>
    <row r="7" spans="1:6" x14ac:dyDescent="0.25">
      <c r="A7" t="s">
        <v>93</v>
      </c>
      <c r="B7" s="18">
        <v>714785000</v>
      </c>
      <c r="C7" s="18">
        <v>761141000</v>
      </c>
      <c r="D7" s="18">
        <v>737954000</v>
      </c>
      <c r="E7" s="18">
        <v>644520000</v>
      </c>
      <c r="F7" s="6" t="s">
        <v>94</v>
      </c>
    </row>
    <row r="8" spans="1:6" x14ac:dyDescent="0.25">
      <c r="A8" t="s">
        <v>95</v>
      </c>
      <c r="B8" s="18">
        <v>730687000</v>
      </c>
      <c r="C8" s="18">
        <v>865373000</v>
      </c>
      <c r="D8" s="18">
        <v>1862431000</v>
      </c>
      <c r="E8" s="18">
        <v>1540796000</v>
      </c>
      <c r="F8" s="6" t="s">
        <v>96</v>
      </c>
    </row>
    <row r="9" spans="1:6" x14ac:dyDescent="0.25">
      <c r="A9" t="s">
        <v>97</v>
      </c>
      <c r="B9" s="18">
        <v>-171650000</v>
      </c>
      <c r="C9" s="18">
        <v>-60556000</v>
      </c>
      <c r="D9" s="18">
        <v>-8150000</v>
      </c>
      <c r="E9" s="18">
        <v>147988000</v>
      </c>
      <c r="F9" s="6" t="s">
        <v>98</v>
      </c>
    </row>
    <row r="10" spans="1:6" x14ac:dyDescent="0.25">
      <c r="A10" t="s">
        <v>99</v>
      </c>
      <c r="B10" s="18">
        <v>1466797000</v>
      </c>
      <c r="C10" s="18">
        <v>1477702000</v>
      </c>
      <c r="D10" s="18">
        <v>1576068000</v>
      </c>
      <c r="E10" s="18">
        <v>1261738000</v>
      </c>
      <c r="F10" s="6" t="s">
        <v>100</v>
      </c>
    </row>
    <row r="11" spans="1:6" x14ac:dyDescent="0.25">
      <c r="A11" t="s">
        <v>101</v>
      </c>
      <c r="B11" s="18">
        <v>17284000</v>
      </c>
      <c r="C11" s="18">
        <v>46983000</v>
      </c>
      <c r="D11" s="18">
        <v>53344000</v>
      </c>
      <c r="E11" s="18">
        <v>51927000</v>
      </c>
      <c r="F11" s="6" t="s">
        <v>102</v>
      </c>
    </row>
    <row r="12" spans="1:6" x14ac:dyDescent="0.25">
      <c r="A12" t="s">
        <v>34</v>
      </c>
      <c r="B12" s="34">
        <v>97688000</v>
      </c>
      <c r="C12" s="34">
        <v>102754000</v>
      </c>
      <c r="D12" s="34">
        <v>104451000</v>
      </c>
      <c r="E12" s="34">
        <v>105276000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